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vySpecialist\Annual Report\2020 Web Docs\"/>
    </mc:Choice>
  </mc:AlternateContent>
  <xr:revisionPtr revIDLastSave="0" documentId="13_ncr:1_{BB768FB0-FDCC-4B10-B9A3-A27DEF352A5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19-20" sheetId="7" r:id="rId1"/>
    <sheet name="18-19" sheetId="6" r:id="rId2"/>
    <sheet name="17-18" sheetId="5" r:id="rId3"/>
    <sheet name="16-17" sheetId="4" r:id="rId4"/>
    <sheet name="15-16" sheetId="3" r:id="rId5"/>
    <sheet name="14-15" sheetId="1" r:id="rId6"/>
    <sheet name="13-14" sheetId="2" r:id="rId7"/>
  </sheets>
  <definedNames>
    <definedName name="_xlnm._FilterDatabase" localSheetId="5" hidden="1">'14-15'!$A$1:$S$75</definedName>
    <definedName name="_xlnm._FilterDatabase" localSheetId="4" hidden="1">'15-16'!$A$1:$S$75</definedName>
    <definedName name="_xlnm._FilterDatabase" localSheetId="3" hidden="1">'16-17'!$A$1:$S$75</definedName>
    <definedName name="_xlnm._FilterDatabase" localSheetId="2" hidden="1">'17-18'!$A$1:$S$75</definedName>
    <definedName name="_xlnm._FilterDatabase" localSheetId="1" hidden="1">'18-19'!$A$1:$S$75</definedName>
    <definedName name="_xlnm._FilterDatabase" localSheetId="0" hidden="1">'19-20'!$A$1:$S$73</definedName>
    <definedName name="_xlnm.Print_Titles" localSheetId="6">'13-14'!$1:$1</definedName>
    <definedName name="_xlnm.Print_Titles" localSheetId="5">'14-15'!$1:$1</definedName>
    <definedName name="_xlnm.Print_Titles" localSheetId="4">'15-16'!$1:$1</definedName>
    <definedName name="_xlnm.Print_Titles" localSheetId="3">'16-17'!$1:$1</definedName>
    <definedName name="_xlnm.Print_Titles" localSheetId="2">'17-18'!$1:$1</definedName>
    <definedName name="_xlnm.Print_Titles" localSheetId="1">'18-19'!$1:$1</definedName>
    <definedName name="_xlnm.Print_Titles" localSheetId="0">'19-20'!$1:$1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7" l="1"/>
  <c r="C35" i="7"/>
  <c r="Q35" i="7" s="1"/>
  <c r="T8" i="7"/>
  <c r="T73" i="7"/>
  <c r="T67" i="7"/>
  <c r="T28" i="7"/>
  <c r="T37" i="7"/>
  <c r="C36" i="7"/>
  <c r="C37" i="7"/>
  <c r="Q37" i="7" s="1"/>
  <c r="C40" i="7"/>
  <c r="C39" i="7"/>
  <c r="Q39" i="7" s="1"/>
  <c r="C38" i="7"/>
  <c r="C41" i="7"/>
  <c r="C42" i="7"/>
  <c r="C43" i="7"/>
  <c r="Q43" i="7" s="1"/>
  <c r="C46" i="7"/>
  <c r="C44" i="7"/>
  <c r="Q44" i="7" s="1"/>
  <c r="C45" i="7"/>
  <c r="C47" i="7"/>
  <c r="C48" i="7"/>
  <c r="I48" i="7" s="1"/>
  <c r="C49" i="7"/>
  <c r="Q49" i="7" s="1"/>
  <c r="C50" i="7"/>
  <c r="I50" i="7" s="1"/>
  <c r="C32" i="7"/>
  <c r="I32" i="7" s="1"/>
  <c r="C33" i="7"/>
  <c r="C30" i="7"/>
  <c r="C31" i="7"/>
  <c r="Q31" i="7" s="1"/>
  <c r="C29" i="7"/>
  <c r="C26" i="7"/>
  <c r="Q26" i="7" s="1"/>
  <c r="R57" i="7"/>
  <c r="T16" i="7"/>
  <c r="G69" i="7"/>
  <c r="I69" i="7" s="1"/>
  <c r="S69" i="7" s="1"/>
  <c r="G54" i="7"/>
  <c r="G19" i="7"/>
  <c r="I19" i="7" s="1"/>
  <c r="G17" i="7"/>
  <c r="I17" i="7" s="1"/>
  <c r="T17" i="7" s="1"/>
  <c r="C14" i="7"/>
  <c r="Q14" i="7" s="1"/>
  <c r="G12" i="7"/>
  <c r="R3" i="7"/>
  <c r="Q3" i="7"/>
  <c r="I42" i="7"/>
  <c r="S42" i="7" s="1"/>
  <c r="R42" i="7"/>
  <c r="Q42" i="7"/>
  <c r="I27" i="7"/>
  <c r="S27" i="7" s="1"/>
  <c r="R73" i="7"/>
  <c r="Q73" i="7"/>
  <c r="I73" i="7"/>
  <c r="R72" i="7"/>
  <c r="Q72" i="7"/>
  <c r="I72" i="7"/>
  <c r="R71" i="7"/>
  <c r="Q71" i="7"/>
  <c r="I71" i="7"/>
  <c r="T71" i="7" s="1"/>
  <c r="Q70" i="7"/>
  <c r="R70" i="7"/>
  <c r="Q69" i="7"/>
  <c r="R67" i="7"/>
  <c r="Q67" i="7"/>
  <c r="I67" i="7"/>
  <c r="R66" i="7"/>
  <c r="Q66" i="7"/>
  <c r="I66" i="7"/>
  <c r="S66" i="7" s="1"/>
  <c r="R65" i="7"/>
  <c r="Q65" i="7"/>
  <c r="I65" i="7"/>
  <c r="T65" i="7" s="1"/>
  <c r="R64" i="7"/>
  <c r="Q64" i="7"/>
  <c r="I64" i="7"/>
  <c r="T64" i="7" s="1"/>
  <c r="R62" i="7"/>
  <c r="Q62" i="7"/>
  <c r="I62" i="7"/>
  <c r="T62" i="7" s="1"/>
  <c r="R61" i="7"/>
  <c r="Q61" i="7"/>
  <c r="I61" i="7"/>
  <c r="T61" i="7" s="1"/>
  <c r="R60" i="7"/>
  <c r="Q60" i="7"/>
  <c r="I60" i="7"/>
  <c r="R59" i="7"/>
  <c r="Q59" i="7"/>
  <c r="I59" i="7"/>
  <c r="T59" i="7" s="1"/>
  <c r="R58" i="7"/>
  <c r="Q58" i="7"/>
  <c r="I58" i="7"/>
  <c r="Q57" i="7"/>
  <c r="I57" i="7"/>
  <c r="T57" i="7" s="1"/>
  <c r="Q56" i="7"/>
  <c r="R56" i="7"/>
  <c r="R55" i="7"/>
  <c r="Q55" i="7"/>
  <c r="I55" i="7"/>
  <c r="Q54" i="7"/>
  <c r="I54" i="7"/>
  <c r="R53" i="7"/>
  <c r="Q53" i="7"/>
  <c r="I53" i="7"/>
  <c r="T53" i="7" s="1"/>
  <c r="R52" i="7"/>
  <c r="Q52" i="7"/>
  <c r="I52" i="7"/>
  <c r="R50" i="7"/>
  <c r="R49" i="7"/>
  <c r="R48" i="7"/>
  <c r="R47" i="7"/>
  <c r="Q47" i="7"/>
  <c r="R46" i="7"/>
  <c r="I46" i="7"/>
  <c r="R45" i="7"/>
  <c r="Q45" i="7"/>
  <c r="R44" i="7"/>
  <c r="R43" i="7"/>
  <c r="R41" i="7"/>
  <c r="Q41" i="7"/>
  <c r="I41" i="7"/>
  <c r="R40" i="7"/>
  <c r="R39" i="7"/>
  <c r="R38" i="7"/>
  <c r="R37" i="7"/>
  <c r="R36" i="7"/>
  <c r="R35" i="7"/>
  <c r="R34" i="7"/>
  <c r="R33" i="7"/>
  <c r="Q33" i="7"/>
  <c r="R32" i="7"/>
  <c r="R31" i="7"/>
  <c r="R30" i="7"/>
  <c r="R29" i="7"/>
  <c r="Q29" i="7"/>
  <c r="R28" i="7"/>
  <c r="Q28" i="7"/>
  <c r="I28" i="7"/>
  <c r="R27" i="7"/>
  <c r="Q27" i="7"/>
  <c r="R26" i="7"/>
  <c r="R24" i="7"/>
  <c r="Q24" i="7"/>
  <c r="I24" i="7"/>
  <c r="S24" i="7" s="1"/>
  <c r="Q23" i="7"/>
  <c r="I23" i="7"/>
  <c r="R22" i="7"/>
  <c r="Q22" i="7"/>
  <c r="I22" i="7"/>
  <c r="S22" i="7" s="1"/>
  <c r="R21" i="7"/>
  <c r="Q21" i="7"/>
  <c r="I21" i="7"/>
  <c r="S21" i="7" s="1"/>
  <c r="R20" i="7"/>
  <c r="Q20" i="7"/>
  <c r="I20" i="7"/>
  <c r="T20" i="7" s="1"/>
  <c r="Q19" i="7"/>
  <c r="R18" i="7"/>
  <c r="Q18" i="7"/>
  <c r="I18" i="7"/>
  <c r="S18" i="7" s="1"/>
  <c r="R17" i="7"/>
  <c r="Q17" i="7"/>
  <c r="R16" i="7"/>
  <c r="Q16" i="7"/>
  <c r="I16" i="7"/>
  <c r="R15" i="7"/>
  <c r="Q15" i="7"/>
  <c r="I15" i="7"/>
  <c r="R14" i="7"/>
  <c r="R13" i="7"/>
  <c r="Q13" i="7"/>
  <c r="I13" i="7"/>
  <c r="Q12" i="7"/>
  <c r="R12" i="7"/>
  <c r="R11" i="7"/>
  <c r="Q11" i="7"/>
  <c r="I11" i="7"/>
  <c r="T11" i="7" s="1"/>
  <c r="R9" i="7"/>
  <c r="Q9" i="7"/>
  <c r="I9" i="7"/>
  <c r="T9" i="7" s="1"/>
  <c r="R8" i="7"/>
  <c r="Q8" i="7"/>
  <c r="I8" i="7"/>
  <c r="R7" i="7"/>
  <c r="Q7" i="7"/>
  <c r="I7" i="7"/>
  <c r="S7" i="7" s="1"/>
  <c r="R6" i="7"/>
  <c r="Q6" i="7"/>
  <c r="I6" i="7"/>
  <c r="S6" i="7" s="1"/>
  <c r="R5" i="7"/>
  <c r="Q5" i="7"/>
  <c r="I5" i="7"/>
  <c r="T5" i="7" s="1"/>
  <c r="R4" i="7"/>
  <c r="Q4" i="7"/>
  <c r="I4" i="7"/>
  <c r="T4" i="7" s="1"/>
  <c r="I3" i="7"/>
  <c r="S3" i="7" s="1"/>
  <c r="R2" i="7"/>
  <c r="Q2" i="7"/>
  <c r="I2" i="7"/>
  <c r="S2" i="7" s="1"/>
  <c r="T69" i="7" l="1"/>
  <c r="T27" i="7"/>
  <c r="S4" i="7"/>
  <c r="T3" i="7"/>
  <c r="R69" i="7"/>
  <c r="T72" i="7"/>
  <c r="S52" i="7"/>
  <c r="S55" i="7"/>
  <c r="S58" i="7"/>
  <c r="S60" i="7"/>
  <c r="T41" i="7"/>
  <c r="Q30" i="7"/>
  <c r="T32" i="7"/>
  <c r="Q34" i="7"/>
  <c r="Q36" i="7"/>
  <c r="Q38" i="7"/>
  <c r="Q40" i="7"/>
  <c r="T13" i="7"/>
  <c r="T15" i="7"/>
  <c r="T19" i="7"/>
  <c r="T22" i="7"/>
  <c r="T7" i="7"/>
  <c r="S8" i="7"/>
  <c r="R19" i="7"/>
  <c r="I30" i="7"/>
  <c r="T30" i="7" s="1"/>
  <c r="I31" i="7"/>
  <c r="S31" i="7" s="1"/>
  <c r="Q46" i="7"/>
  <c r="S53" i="7"/>
  <c r="Q32" i="7"/>
  <c r="S59" i="7"/>
  <c r="T6" i="7"/>
  <c r="I29" i="7"/>
  <c r="S29" i="7" s="1"/>
  <c r="I37" i="7"/>
  <c r="Q48" i="7"/>
  <c r="I34" i="7"/>
  <c r="T34" i="7" s="1"/>
  <c r="I44" i="7"/>
  <c r="T44" i="7" s="1"/>
  <c r="I36" i="7"/>
  <c r="T36" i="7" s="1"/>
  <c r="I56" i="7"/>
  <c r="T56" i="7" s="1"/>
  <c r="I14" i="7"/>
  <c r="S14" i="7" s="1"/>
  <c r="I35" i="7"/>
  <c r="S35" i="7" s="1"/>
  <c r="I39" i="7"/>
  <c r="T39" i="7" s="1"/>
  <c r="Q50" i="7"/>
  <c r="I70" i="7"/>
  <c r="S70" i="7" s="1"/>
  <c r="S11" i="7"/>
  <c r="S15" i="7"/>
  <c r="I26" i="7"/>
  <c r="S26" i="7" s="1"/>
  <c r="I33" i="7"/>
  <c r="S33" i="7" s="1"/>
  <c r="S61" i="7"/>
  <c r="S67" i="7"/>
  <c r="S71" i="7"/>
  <c r="T23" i="7"/>
  <c r="S23" i="7"/>
  <c r="T46" i="7"/>
  <c r="S46" i="7"/>
  <c r="T54" i="7"/>
  <c r="S54" i="7"/>
  <c r="T48" i="7"/>
  <c r="S48" i="7"/>
  <c r="T50" i="7"/>
  <c r="S50" i="7"/>
  <c r="T18" i="7"/>
  <c r="T21" i="7"/>
  <c r="T24" i="7"/>
  <c r="T52" i="7"/>
  <c r="T55" i="7"/>
  <c r="T58" i="7"/>
  <c r="T60" i="7"/>
  <c r="T66" i="7"/>
  <c r="S5" i="7"/>
  <c r="S9" i="7"/>
  <c r="I12" i="7"/>
  <c r="S13" i="7"/>
  <c r="S16" i="7"/>
  <c r="S19" i="7"/>
  <c r="R23" i="7"/>
  <c r="S28" i="7"/>
  <c r="S32" i="7"/>
  <c r="I38" i="7"/>
  <c r="I40" i="7"/>
  <c r="I43" i="7"/>
  <c r="I45" i="7"/>
  <c r="I47" i="7"/>
  <c r="I49" i="7"/>
  <c r="R54" i="7"/>
  <c r="S56" i="7"/>
  <c r="S62" i="7"/>
  <c r="S64" i="7"/>
  <c r="S72" i="7"/>
  <c r="S17" i="7"/>
  <c r="S20" i="7"/>
  <c r="S41" i="7"/>
  <c r="S57" i="7"/>
  <c r="S65" i="7"/>
  <c r="S73" i="7"/>
  <c r="T2" i="7"/>
  <c r="G72" i="6"/>
  <c r="G71" i="6"/>
  <c r="T64" i="6"/>
  <c r="T25" i="6"/>
  <c r="C60" i="6"/>
  <c r="G56" i="6"/>
  <c r="G54" i="6"/>
  <c r="C50" i="6"/>
  <c r="C49" i="6"/>
  <c r="C47" i="6"/>
  <c r="C48" i="6"/>
  <c r="C46" i="6"/>
  <c r="C45" i="6"/>
  <c r="C44" i="6"/>
  <c r="C43" i="6"/>
  <c r="C42" i="6"/>
  <c r="C41" i="6"/>
  <c r="C40" i="6"/>
  <c r="C39" i="6"/>
  <c r="I38" i="6"/>
  <c r="C38" i="6"/>
  <c r="C37" i="6"/>
  <c r="S34" i="7" l="1"/>
  <c r="T33" i="7"/>
  <c r="T29" i="7"/>
  <c r="T31" i="7"/>
  <c r="T35" i="7"/>
  <c r="T26" i="7"/>
  <c r="T14" i="7"/>
  <c r="S30" i="7"/>
  <c r="S37" i="7"/>
  <c r="S39" i="7"/>
  <c r="S44" i="7"/>
  <c r="S36" i="7"/>
  <c r="T70" i="7"/>
  <c r="T43" i="7"/>
  <c r="S43" i="7"/>
  <c r="T47" i="7"/>
  <c r="S47" i="7"/>
  <c r="T38" i="7"/>
  <c r="S38" i="7"/>
  <c r="T45" i="7"/>
  <c r="S45" i="7"/>
  <c r="T12" i="7"/>
  <c r="S12" i="7"/>
  <c r="T49" i="7"/>
  <c r="S49" i="7"/>
  <c r="T40" i="7"/>
  <c r="S40" i="7"/>
  <c r="I37" i="6"/>
  <c r="T37" i="6" s="1"/>
  <c r="C36" i="6"/>
  <c r="C35" i="6"/>
  <c r="C34" i="6"/>
  <c r="C33" i="6"/>
  <c r="Q33" i="6" s="1"/>
  <c r="I33" i="6"/>
  <c r="T33" i="6" s="1"/>
  <c r="I32" i="6"/>
  <c r="T32" i="6" s="1"/>
  <c r="C32" i="6"/>
  <c r="I49" i="6"/>
  <c r="T49" i="6" s="1"/>
  <c r="I47" i="6"/>
  <c r="I44" i="6"/>
  <c r="T44" i="6" s="1"/>
  <c r="I42" i="6"/>
  <c r="T42" i="6" s="1"/>
  <c r="I39" i="6"/>
  <c r="T39" i="6" s="1"/>
  <c r="C31" i="6"/>
  <c r="I31" i="6" s="1"/>
  <c r="T31" i="6" s="1"/>
  <c r="C30" i="6"/>
  <c r="C27" i="6"/>
  <c r="I27" i="6" s="1"/>
  <c r="T27" i="6" s="1"/>
  <c r="R25" i="6"/>
  <c r="G23" i="6"/>
  <c r="G19" i="6"/>
  <c r="G12" i="6"/>
  <c r="C14" i="6"/>
  <c r="S47" i="6" l="1"/>
  <c r="T47" i="6"/>
  <c r="S32" i="6"/>
  <c r="S38" i="6"/>
  <c r="Q14" i="6"/>
  <c r="R75" i="6"/>
  <c r="Q75" i="6"/>
  <c r="I75" i="6"/>
  <c r="R74" i="6"/>
  <c r="Q74" i="6"/>
  <c r="I74" i="6"/>
  <c r="T74" i="6" s="1"/>
  <c r="R73" i="6"/>
  <c r="Q73" i="6"/>
  <c r="I73" i="6"/>
  <c r="T73" i="6" s="1"/>
  <c r="R72" i="6"/>
  <c r="Q72" i="6"/>
  <c r="I72" i="6"/>
  <c r="R71" i="6"/>
  <c r="Q71" i="6"/>
  <c r="R69" i="6"/>
  <c r="Q69" i="6"/>
  <c r="I69" i="6"/>
  <c r="T69" i="6" s="1"/>
  <c r="R68" i="6"/>
  <c r="Q68" i="6"/>
  <c r="I68" i="6"/>
  <c r="T68" i="6" s="1"/>
  <c r="R67" i="6"/>
  <c r="Q67" i="6"/>
  <c r="I67" i="6"/>
  <c r="R66" i="6"/>
  <c r="Q66" i="6"/>
  <c r="I66" i="6"/>
  <c r="R64" i="6"/>
  <c r="R63" i="6"/>
  <c r="Q63" i="6"/>
  <c r="I63" i="6"/>
  <c r="T63" i="6" s="1"/>
  <c r="R62" i="6"/>
  <c r="Q62" i="6"/>
  <c r="I62" i="6"/>
  <c r="T62" i="6" s="1"/>
  <c r="R61" i="6"/>
  <c r="Q61" i="6"/>
  <c r="I61" i="6"/>
  <c r="R60" i="6"/>
  <c r="I60" i="6"/>
  <c r="T60" i="6" s="1"/>
  <c r="R59" i="6"/>
  <c r="Q59" i="6"/>
  <c r="I59" i="6"/>
  <c r="T59" i="6" s="1"/>
  <c r="R58" i="6"/>
  <c r="Q58" i="6"/>
  <c r="I58" i="6"/>
  <c r="T58" i="6" s="1"/>
  <c r="R57" i="6"/>
  <c r="Q57" i="6"/>
  <c r="I57" i="6"/>
  <c r="T57" i="6" s="1"/>
  <c r="R56" i="6"/>
  <c r="Q56" i="6"/>
  <c r="I56" i="6"/>
  <c r="R55" i="6"/>
  <c r="Q55" i="6"/>
  <c r="I55" i="6"/>
  <c r="T55" i="6" s="1"/>
  <c r="R54" i="6"/>
  <c r="Q54" i="6"/>
  <c r="I54" i="6"/>
  <c r="T54" i="6" s="1"/>
  <c r="R53" i="6"/>
  <c r="Q53" i="6"/>
  <c r="I53" i="6"/>
  <c r="R52" i="6"/>
  <c r="Q52" i="6"/>
  <c r="I52" i="6"/>
  <c r="T52" i="6" s="1"/>
  <c r="R50" i="6"/>
  <c r="Q50" i="6"/>
  <c r="R49" i="6"/>
  <c r="R48" i="6"/>
  <c r="Q48" i="6"/>
  <c r="R47" i="6"/>
  <c r="R46" i="6"/>
  <c r="Q46" i="6"/>
  <c r="R45" i="6"/>
  <c r="I45" i="6"/>
  <c r="T45" i="6" s="1"/>
  <c r="R44" i="6"/>
  <c r="Q44" i="6"/>
  <c r="R43" i="6"/>
  <c r="I43" i="6"/>
  <c r="T43" i="6" s="1"/>
  <c r="R42" i="6"/>
  <c r="Q42" i="6"/>
  <c r="R41" i="6"/>
  <c r="I41" i="6"/>
  <c r="T41" i="6" s="1"/>
  <c r="R40" i="6"/>
  <c r="Q40" i="6"/>
  <c r="R39" i="6"/>
  <c r="R38" i="6"/>
  <c r="Q38" i="6"/>
  <c r="R37" i="6"/>
  <c r="Q37" i="6"/>
  <c r="R36" i="6"/>
  <c r="I36" i="6"/>
  <c r="T36" i="6" s="1"/>
  <c r="R35" i="6"/>
  <c r="Q35" i="6"/>
  <c r="R34" i="6"/>
  <c r="I34" i="6"/>
  <c r="T34" i="6" s="1"/>
  <c r="R33" i="6"/>
  <c r="R32" i="6"/>
  <c r="Q32" i="6"/>
  <c r="R30" i="6"/>
  <c r="R29" i="6"/>
  <c r="Q29" i="6"/>
  <c r="I29" i="6"/>
  <c r="T29" i="6" s="1"/>
  <c r="R28" i="6"/>
  <c r="Q28" i="6"/>
  <c r="I28" i="6"/>
  <c r="R27" i="6"/>
  <c r="Q27" i="6"/>
  <c r="R24" i="6"/>
  <c r="Q24" i="6"/>
  <c r="I24" i="6"/>
  <c r="R23" i="6"/>
  <c r="Q23" i="6"/>
  <c r="I23" i="6"/>
  <c r="R22" i="6"/>
  <c r="Q22" i="6"/>
  <c r="I22" i="6"/>
  <c r="R21" i="6"/>
  <c r="Q21" i="6"/>
  <c r="I21" i="6"/>
  <c r="T21" i="6" s="1"/>
  <c r="R20" i="6"/>
  <c r="Q20" i="6"/>
  <c r="I20" i="6"/>
  <c r="R19" i="6"/>
  <c r="Q19" i="6"/>
  <c r="I19" i="6"/>
  <c r="R18" i="6"/>
  <c r="Q18" i="6"/>
  <c r="I18" i="6"/>
  <c r="R17" i="6"/>
  <c r="Q17" i="6"/>
  <c r="I17" i="6"/>
  <c r="T17" i="6" s="1"/>
  <c r="R16" i="6"/>
  <c r="Q16" i="6"/>
  <c r="I16" i="6"/>
  <c r="R15" i="6"/>
  <c r="Q15" i="6"/>
  <c r="I15" i="6"/>
  <c r="R14" i="6"/>
  <c r="I14" i="6"/>
  <c r="T14" i="6" s="1"/>
  <c r="R13" i="6"/>
  <c r="Q13" i="6"/>
  <c r="I13" i="6"/>
  <c r="Q12" i="6"/>
  <c r="I12" i="6"/>
  <c r="T12" i="6" s="1"/>
  <c r="R11" i="6"/>
  <c r="Q11" i="6"/>
  <c r="I11" i="6"/>
  <c r="R9" i="6"/>
  <c r="Q9" i="6"/>
  <c r="I9" i="6"/>
  <c r="T9" i="6" s="1"/>
  <c r="R8" i="6"/>
  <c r="Q8" i="6"/>
  <c r="I8" i="6"/>
  <c r="T8" i="6" s="1"/>
  <c r="R7" i="6"/>
  <c r="Q7" i="6"/>
  <c r="I7" i="6"/>
  <c r="T7" i="6" s="1"/>
  <c r="R6" i="6"/>
  <c r="Q6" i="6"/>
  <c r="I6" i="6"/>
  <c r="R5" i="6"/>
  <c r="Q5" i="6"/>
  <c r="I5" i="6"/>
  <c r="T5" i="6" s="1"/>
  <c r="R4" i="6"/>
  <c r="Q4" i="6"/>
  <c r="I4" i="6"/>
  <c r="T4" i="6" s="1"/>
  <c r="R3" i="6"/>
  <c r="I3" i="6"/>
  <c r="R2" i="6"/>
  <c r="Q2" i="6"/>
  <c r="I2" i="6"/>
  <c r="S15" i="6" l="1"/>
  <c r="T15" i="6"/>
  <c r="S3" i="6"/>
  <c r="T3" i="6"/>
  <c r="S6" i="6"/>
  <c r="T6" i="6"/>
  <c r="S11" i="6"/>
  <c r="T11" i="6"/>
  <c r="S19" i="6"/>
  <c r="T19" i="6"/>
  <c r="S23" i="6"/>
  <c r="T23" i="6"/>
  <c r="S28" i="6"/>
  <c r="T28" i="6"/>
  <c r="S53" i="6"/>
  <c r="T53" i="6"/>
  <c r="S18" i="6"/>
  <c r="T18" i="6"/>
  <c r="S22" i="6"/>
  <c r="T22" i="6"/>
  <c r="S56" i="6"/>
  <c r="T56" i="6"/>
  <c r="S2" i="6"/>
  <c r="T2" i="6"/>
  <c r="S13" i="6"/>
  <c r="T13" i="6"/>
  <c r="S16" i="6"/>
  <c r="T16" i="6"/>
  <c r="S20" i="6"/>
  <c r="T20" i="6"/>
  <c r="S24" i="6"/>
  <c r="T24" i="6"/>
  <c r="S61" i="6"/>
  <c r="T61" i="6"/>
  <c r="S67" i="6"/>
  <c r="T67" i="6"/>
  <c r="S66" i="6"/>
  <c r="T66" i="6"/>
  <c r="S75" i="6"/>
  <c r="T75" i="6"/>
  <c r="S72" i="6"/>
  <c r="T72" i="6"/>
  <c r="S71" i="6"/>
  <c r="T71" i="6"/>
  <c r="S5" i="6"/>
  <c r="S9" i="6"/>
  <c r="S55" i="6"/>
  <c r="S4" i="6"/>
  <c r="Q30" i="6"/>
  <c r="S54" i="6"/>
  <c r="S59" i="6"/>
  <c r="S62" i="6"/>
  <c r="S8" i="6"/>
  <c r="S29" i="6"/>
  <c r="S58" i="6"/>
  <c r="S17" i="6"/>
  <c r="S21" i="6"/>
  <c r="R31" i="6"/>
  <c r="S34" i="6"/>
  <c r="S41" i="6"/>
  <c r="S49" i="6"/>
  <c r="S7" i="6"/>
  <c r="S12" i="6"/>
  <c r="S27" i="6"/>
  <c r="Q31" i="6"/>
  <c r="S33" i="6"/>
  <c r="S36" i="6"/>
  <c r="S60" i="6"/>
  <c r="S63" i="6"/>
  <c r="S68" i="6"/>
  <c r="S73" i="6"/>
  <c r="S14" i="6"/>
  <c r="S39" i="6"/>
  <c r="S43" i="6"/>
  <c r="S45" i="6"/>
  <c r="S52" i="6"/>
  <c r="S57" i="6"/>
  <c r="S64" i="6"/>
  <c r="S69" i="6"/>
  <c r="S74" i="6"/>
  <c r="S31" i="6"/>
  <c r="I30" i="6"/>
  <c r="Q34" i="6"/>
  <c r="I35" i="6"/>
  <c r="Q36" i="6"/>
  <c r="S37" i="6"/>
  <c r="Q39" i="6"/>
  <c r="I40" i="6"/>
  <c r="Q41" i="6"/>
  <c r="S42" i="6"/>
  <c r="Q43" i="6"/>
  <c r="S44" i="6"/>
  <c r="Q45" i="6"/>
  <c r="I46" i="6"/>
  <c r="Q47" i="6"/>
  <c r="I48" i="6"/>
  <c r="Q49" i="6"/>
  <c r="I50" i="6"/>
  <c r="Q60" i="6"/>
  <c r="R12" i="6"/>
  <c r="I71" i="5"/>
  <c r="R64" i="5"/>
  <c r="Q64" i="5"/>
  <c r="I64" i="5"/>
  <c r="P64" i="5"/>
  <c r="S64" i="5" s="1"/>
  <c r="C60" i="5"/>
  <c r="C50" i="5"/>
  <c r="C49" i="5"/>
  <c r="I49" i="5" s="1"/>
  <c r="C48" i="5"/>
  <c r="C47" i="5"/>
  <c r="I47" i="5" s="1"/>
  <c r="I44" i="5"/>
  <c r="C44" i="5"/>
  <c r="C46" i="5"/>
  <c r="C45" i="5"/>
  <c r="I45" i="5" s="1"/>
  <c r="C43" i="5"/>
  <c r="C42" i="5"/>
  <c r="I42" i="5" s="1"/>
  <c r="I39" i="5"/>
  <c r="C41" i="5"/>
  <c r="C40" i="5"/>
  <c r="C39" i="5"/>
  <c r="J34" i="5"/>
  <c r="P34" i="5" s="1"/>
  <c r="J33" i="5"/>
  <c r="P33" i="5" s="1"/>
  <c r="J31" i="5"/>
  <c r="P31" i="5" s="1"/>
  <c r="J30" i="5"/>
  <c r="P27" i="5"/>
  <c r="G27" i="5"/>
  <c r="G31" i="5"/>
  <c r="G33" i="5"/>
  <c r="C37" i="5"/>
  <c r="I37" i="5" s="1"/>
  <c r="C36" i="5"/>
  <c r="C35" i="5"/>
  <c r="C33" i="5"/>
  <c r="G34" i="5"/>
  <c r="C34" i="5"/>
  <c r="C32" i="5"/>
  <c r="J27" i="5"/>
  <c r="S48" i="6" l="1"/>
  <c r="T48" i="6"/>
  <c r="S40" i="6"/>
  <c r="T40" i="6"/>
  <c r="S35" i="6"/>
  <c r="T35" i="6"/>
  <c r="I33" i="5"/>
  <c r="S50" i="6"/>
  <c r="T50" i="6"/>
  <c r="S46" i="6"/>
  <c r="T46" i="6"/>
  <c r="S30" i="6"/>
  <c r="T30" i="6"/>
  <c r="C31" i="5"/>
  <c r="C30" i="5"/>
  <c r="C27" i="5"/>
  <c r="R27" i="5"/>
  <c r="Q25" i="5"/>
  <c r="R25" i="5"/>
  <c r="P25" i="5"/>
  <c r="I25" i="5"/>
  <c r="R3" i="5"/>
  <c r="P20" i="5"/>
  <c r="R20" i="5"/>
  <c r="Q20" i="5"/>
  <c r="Q19" i="5"/>
  <c r="P75" i="5"/>
  <c r="P69" i="5"/>
  <c r="P66" i="5"/>
  <c r="P50" i="5"/>
  <c r="Q18" i="5"/>
  <c r="P74" i="5"/>
  <c r="P73" i="5"/>
  <c r="P72" i="5"/>
  <c r="P71" i="5"/>
  <c r="P68" i="5"/>
  <c r="P67" i="5"/>
  <c r="P57" i="5"/>
  <c r="P62" i="5"/>
  <c r="P61" i="5"/>
  <c r="P60" i="5"/>
  <c r="P59" i="5"/>
  <c r="P58" i="5"/>
  <c r="P56" i="5"/>
  <c r="P55" i="5"/>
  <c r="P54" i="5"/>
  <c r="P53" i="5"/>
  <c r="P52" i="5"/>
  <c r="P49" i="5"/>
  <c r="P48" i="5"/>
  <c r="P47" i="5"/>
  <c r="P46" i="5"/>
  <c r="P45" i="5"/>
  <c r="P44" i="5"/>
  <c r="P43" i="5"/>
  <c r="P42" i="5"/>
  <c r="P41" i="5"/>
  <c r="P40" i="5"/>
  <c r="P39" i="5"/>
  <c r="P38" i="5"/>
  <c r="S38" i="5" s="1"/>
  <c r="P37" i="5"/>
  <c r="P36" i="5"/>
  <c r="P35" i="5"/>
  <c r="P32" i="5"/>
  <c r="P30" i="5"/>
  <c r="P29" i="5"/>
  <c r="P28" i="5"/>
  <c r="P18" i="5"/>
  <c r="P24" i="5"/>
  <c r="P23" i="5"/>
  <c r="P22" i="5"/>
  <c r="P21" i="5"/>
  <c r="P19" i="5"/>
  <c r="P17" i="5"/>
  <c r="P16" i="5"/>
  <c r="P15" i="5"/>
  <c r="P14" i="5"/>
  <c r="P13" i="5"/>
  <c r="P12" i="5"/>
  <c r="P11" i="5"/>
  <c r="C14" i="5"/>
  <c r="I14" i="5" s="1"/>
  <c r="G12" i="5"/>
  <c r="R12" i="5" s="1"/>
  <c r="P3" i="5"/>
  <c r="P4" i="5"/>
  <c r="P5" i="5"/>
  <c r="P6" i="5"/>
  <c r="P7" i="5"/>
  <c r="P8" i="5"/>
  <c r="P9" i="5"/>
  <c r="P2" i="5"/>
  <c r="Q4" i="5"/>
  <c r="I3" i="5"/>
  <c r="I20" i="5"/>
  <c r="R17" i="5"/>
  <c r="R75" i="5"/>
  <c r="Q75" i="5"/>
  <c r="I75" i="5"/>
  <c r="R74" i="5"/>
  <c r="Q74" i="5"/>
  <c r="I74" i="5"/>
  <c r="R73" i="5"/>
  <c r="Q73" i="5"/>
  <c r="I73" i="5"/>
  <c r="R72" i="5"/>
  <c r="Q72" i="5"/>
  <c r="I72" i="5"/>
  <c r="S72" i="5" s="1"/>
  <c r="R71" i="5"/>
  <c r="Q71" i="5"/>
  <c r="R69" i="5"/>
  <c r="Q69" i="5"/>
  <c r="I69" i="5"/>
  <c r="R68" i="5"/>
  <c r="Q68" i="5"/>
  <c r="I68" i="5"/>
  <c r="R67" i="5"/>
  <c r="Q67" i="5"/>
  <c r="I67" i="5"/>
  <c r="S67" i="5" s="1"/>
  <c r="S66" i="5"/>
  <c r="R66" i="5"/>
  <c r="Q66" i="5"/>
  <c r="I66" i="5"/>
  <c r="R63" i="5"/>
  <c r="Q63" i="5"/>
  <c r="I63" i="5"/>
  <c r="S63" i="5" s="1"/>
  <c r="R62" i="5"/>
  <c r="Q62" i="5"/>
  <c r="I62" i="5"/>
  <c r="R61" i="5"/>
  <c r="Q61" i="5"/>
  <c r="I61" i="5"/>
  <c r="R60" i="5"/>
  <c r="Q60" i="5"/>
  <c r="I60" i="5"/>
  <c r="R59" i="5"/>
  <c r="Q59" i="5"/>
  <c r="I59" i="5"/>
  <c r="R58" i="5"/>
  <c r="Q58" i="5"/>
  <c r="I58" i="5"/>
  <c r="R57" i="5"/>
  <c r="Q57" i="5"/>
  <c r="I57" i="5"/>
  <c r="Q56" i="5"/>
  <c r="I56" i="5"/>
  <c r="R55" i="5"/>
  <c r="Q55" i="5"/>
  <c r="I55" i="5"/>
  <c r="R54" i="5"/>
  <c r="Q54" i="5"/>
  <c r="I54" i="5"/>
  <c r="R53" i="5"/>
  <c r="Q53" i="5"/>
  <c r="I53" i="5"/>
  <c r="R52" i="5"/>
  <c r="Q52" i="5"/>
  <c r="I52" i="5"/>
  <c r="R50" i="5"/>
  <c r="Q50" i="5"/>
  <c r="I50" i="5"/>
  <c r="R49" i="5"/>
  <c r="Q49" i="5"/>
  <c r="R48" i="5"/>
  <c r="Q48" i="5"/>
  <c r="I48" i="5"/>
  <c r="Q47" i="5"/>
  <c r="R47" i="5"/>
  <c r="R46" i="5"/>
  <c r="Q46" i="5"/>
  <c r="I46" i="5"/>
  <c r="R45" i="5"/>
  <c r="Q45" i="5"/>
  <c r="R44" i="5"/>
  <c r="Q44" i="5"/>
  <c r="R43" i="5"/>
  <c r="Q43" i="5"/>
  <c r="I43" i="5"/>
  <c r="Q42" i="5"/>
  <c r="R41" i="5"/>
  <c r="Q41" i="5"/>
  <c r="I41" i="5"/>
  <c r="R40" i="5"/>
  <c r="Q40" i="5"/>
  <c r="I40" i="5"/>
  <c r="R39" i="5"/>
  <c r="Q39" i="5"/>
  <c r="R38" i="5"/>
  <c r="Q38" i="5"/>
  <c r="R37" i="5"/>
  <c r="Q37" i="5"/>
  <c r="R36" i="5"/>
  <c r="Q36" i="5"/>
  <c r="I36" i="5"/>
  <c r="S36" i="5" s="1"/>
  <c r="R35" i="5"/>
  <c r="Q35" i="5"/>
  <c r="I35" i="5"/>
  <c r="R34" i="5"/>
  <c r="Q34" i="5"/>
  <c r="I34" i="5"/>
  <c r="Q33" i="5"/>
  <c r="R33" i="5"/>
  <c r="R32" i="5"/>
  <c r="R30" i="5"/>
  <c r="Q30" i="5"/>
  <c r="I30" i="5"/>
  <c r="R29" i="5"/>
  <c r="Q29" i="5"/>
  <c r="I29" i="5"/>
  <c r="S29" i="5" s="1"/>
  <c r="R28" i="5"/>
  <c r="Q28" i="5"/>
  <c r="I28" i="5"/>
  <c r="R24" i="5"/>
  <c r="Q24" i="5"/>
  <c r="I24" i="5"/>
  <c r="S24" i="5" s="1"/>
  <c r="Q23" i="5"/>
  <c r="I23" i="5"/>
  <c r="R22" i="5"/>
  <c r="Q22" i="5"/>
  <c r="I22" i="5"/>
  <c r="R21" i="5"/>
  <c r="Q21" i="5"/>
  <c r="I21" i="5"/>
  <c r="R19" i="5"/>
  <c r="I19" i="5"/>
  <c r="R18" i="5"/>
  <c r="I18" i="5"/>
  <c r="Q17" i="5"/>
  <c r="I17" i="5"/>
  <c r="R16" i="5"/>
  <c r="Q16" i="5"/>
  <c r="I16" i="5"/>
  <c r="R15" i="5"/>
  <c r="Q15" i="5"/>
  <c r="I15" i="5"/>
  <c r="R14" i="5"/>
  <c r="Q14" i="5"/>
  <c r="R13" i="5"/>
  <c r="Q13" i="5"/>
  <c r="I13" i="5"/>
  <c r="Q12" i="5"/>
  <c r="R11" i="5"/>
  <c r="Q11" i="5"/>
  <c r="I11" i="5"/>
  <c r="R9" i="5"/>
  <c r="Q9" i="5"/>
  <c r="I9" i="5"/>
  <c r="S9" i="5" s="1"/>
  <c r="R8" i="5"/>
  <c r="Q8" i="5"/>
  <c r="I8" i="5"/>
  <c r="S8" i="5" s="1"/>
  <c r="R7" i="5"/>
  <c r="Q7" i="5"/>
  <c r="I7" i="5"/>
  <c r="S7" i="5" s="1"/>
  <c r="R6" i="5"/>
  <c r="Q6" i="5"/>
  <c r="I6" i="5"/>
  <c r="R5" i="5"/>
  <c r="Q5" i="5"/>
  <c r="I5" i="5"/>
  <c r="S5" i="5" s="1"/>
  <c r="R4" i="5"/>
  <c r="I4" i="5"/>
  <c r="R2" i="5"/>
  <c r="Q2" i="5"/>
  <c r="I2" i="5"/>
  <c r="S15" i="5" l="1"/>
  <c r="S18" i="5"/>
  <c r="S21" i="5"/>
  <c r="S43" i="5"/>
  <c r="Q31" i="5"/>
  <c r="I31" i="5"/>
  <c r="S50" i="5"/>
  <c r="S75" i="5"/>
  <c r="S20" i="5"/>
  <c r="S25" i="5"/>
  <c r="Q27" i="5"/>
  <c r="I27" i="5"/>
  <c r="S27" i="5" s="1"/>
  <c r="S30" i="5"/>
  <c r="S31" i="5"/>
  <c r="S13" i="5"/>
  <c r="S3" i="5"/>
  <c r="Q32" i="5"/>
  <c r="S11" i="5"/>
  <c r="S44" i="5"/>
  <c r="S2" i="5"/>
  <c r="S6" i="5"/>
  <c r="S28" i="5"/>
  <c r="S4" i="5"/>
  <c r="S48" i="5"/>
  <c r="S34" i="5"/>
  <c r="S35" i="5"/>
  <c r="S41" i="5"/>
  <c r="S62" i="5"/>
  <c r="S71" i="5"/>
  <c r="S17" i="5"/>
  <c r="S32" i="5"/>
  <c r="S39" i="5"/>
  <c r="S46" i="5"/>
  <c r="S53" i="5"/>
  <c r="S60" i="5"/>
  <c r="S74" i="5"/>
  <c r="S73" i="5"/>
  <c r="S69" i="5"/>
  <c r="S68" i="5"/>
  <c r="S59" i="5"/>
  <c r="S55" i="5"/>
  <c r="S52" i="5"/>
  <c r="S56" i="5"/>
  <c r="S58" i="5"/>
  <c r="S54" i="5"/>
  <c r="S57" i="5"/>
  <c r="S61" i="5"/>
  <c r="S42" i="5"/>
  <c r="S45" i="5"/>
  <c r="S49" i="5"/>
  <c r="S37" i="5"/>
  <c r="S40" i="5"/>
  <c r="S16" i="5"/>
  <c r="S23" i="5"/>
  <c r="S22" i="5"/>
  <c r="S14" i="5"/>
  <c r="S19" i="5"/>
  <c r="R31" i="5"/>
  <c r="R56" i="5"/>
  <c r="I12" i="5"/>
  <c r="S12" i="5" s="1"/>
  <c r="R23" i="5"/>
  <c r="S33" i="5"/>
  <c r="R42" i="5"/>
  <c r="S47" i="5"/>
  <c r="R17" i="4"/>
  <c r="G49" i="4"/>
  <c r="G47" i="4"/>
  <c r="G44" i="4"/>
  <c r="G42" i="4"/>
  <c r="G39" i="4"/>
  <c r="G36" i="4"/>
  <c r="G32" i="4"/>
  <c r="G29" i="4"/>
  <c r="G25" i="4"/>
  <c r="G73" i="4"/>
  <c r="G57" i="4"/>
  <c r="G22" i="4"/>
  <c r="G18" i="4" l="1"/>
  <c r="I18" i="4" s="1"/>
  <c r="I17" i="4"/>
  <c r="S17" i="4" s="1"/>
  <c r="G16" i="4"/>
  <c r="G11" i="4" l="1"/>
  <c r="Q2" i="4"/>
  <c r="R75" i="4"/>
  <c r="Q75" i="4"/>
  <c r="I75" i="4"/>
  <c r="R74" i="4"/>
  <c r="Q74" i="4"/>
  <c r="I74" i="4"/>
  <c r="S74" i="4" s="1"/>
  <c r="R73" i="4"/>
  <c r="Q73" i="4"/>
  <c r="I73" i="4"/>
  <c r="S73" i="4" s="1"/>
  <c r="R72" i="4"/>
  <c r="Q72" i="4"/>
  <c r="I72" i="4"/>
  <c r="S72" i="4" s="1"/>
  <c r="Q71" i="4"/>
  <c r="I71" i="4"/>
  <c r="R69" i="4"/>
  <c r="Q69" i="4"/>
  <c r="I69" i="4"/>
  <c r="S69" i="4" s="1"/>
  <c r="R68" i="4"/>
  <c r="Q68" i="4"/>
  <c r="I68" i="4"/>
  <c r="S68" i="4" s="1"/>
  <c r="R67" i="4"/>
  <c r="Q67" i="4"/>
  <c r="I67" i="4"/>
  <c r="R66" i="4"/>
  <c r="Q66" i="4"/>
  <c r="I66" i="4"/>
  <c r="R64" i="4"/>
  <c r="Q64" i="4"/>
  <c r="I64" i="4"/>
  <c r="S64" i="4" s="1"/>
  <c r="R63" i="4"/>
  <c r="Q63" i="4"/>
  <c r="I63" i="4"/>
  <c r="S63" i="4" s="1"/>
  <c r="R62" i="4"/>
  <c r="Q62" i="4"/>
  <c r="I62" i="4"/>
  <c r="R61" i="4"/>
  <c r="Q61" i="4"/>
  <c r="I61" i="4"/>
  <c r="R60" i="4"/>
  <c r="Q60" i="4"/>
  <c r="I60" i="4"/>
  <c r="S60" i="4" s="1"/>
  <c r="R59" i="4"/>
  <c r="Q59" i="4"/>
  <c r="I59" i="4"/>
  <c r="S59" i="4" s="1"/>
  <c r="R58" i="4"/>
  <c r="Q58" i="4"/>
  <c r="I58" i="4"/>
  <c r="S58" i="4" s="1"/>
  <c r="R57" i="4"/>
  <c r="Q57" i="4"/>
  <c r="I57" i="4"/>
  <c r="R56" i="4"/>
  <c r="Q56" i="4"/>
  <c r="I56" i="4"/>
  <c r="S56" i="4" s="1"/>
  <c r="R55" i="4"/>
  <c r="Q55" i="4"/>
  <c r="I55" i="4"/>
  <c r="S55" i="4" s="1"/>
  <c r="R54" i="4"/>
  <c r="Q54" i="4"/>
  <c r="I54" i="4"/>
  <c r="S54" i="4" s="1"/>
  <c r="R53" i="4"/>
  <c r="Q53" i="4"/>
  <c r="I53" i="4"/>
  <c r="R52" i="4"/>
  <c r="Q52" i="4"/>
  <c r="I52" i="4"/>
  <c r="S52" i="4" s="1"/>
  <c r="R50" i="4"/>
  <c r="Q50" i="4"/>
  <c r="I50" i="4"/>
  <c r="S50" i="4" s="1"/>
  <c r="Q49" i="4"/>
  <c r="I49" i="4"/>
  <c r="R48" i="4"/>
  <c r="Q48" i="4"/>
  <c r="I48" i="4"/>
  <c r="Q47" i="4"/>
  <c r="I47" i="4"/>
  <c r="R47" i="4"/>
  <c r="R46" i="4"/>
  <c r="Q46" i="4"/>
  <c r="I46" i="4"/>
  <c r="S46" i="4" s="1"/>
  <c r="R45" i="4"/>
  <c r="Q45" i="4"/>
  <c r="I45" i="4"/>
  <c r="Q44" i="4"/>
  <c r="I44" i="4"/>
  <c r="S44" i="4" s="1"/>
  <c r="R44" i="4"/>
  <c r="R43" i="4"/>
  <c r="Q43" i="4"/>
  <c r="I43" i="4"/>
  <c r="S43" i="4" s="1"/>
  <c r="Q42" i="4"/>
  <c r="I42" i="4"/>
  <c r="R41" i="4"/>
  <c r="Q41" i="4"/>
  <c r="I41" i="4"/>
  <c r="S41" i="4" s="1"/>
  <c r="R40" i="4"/>
  <c r="Q40" i="4"/>
  <c r="I40" i="4"/>
  <c r="S40" i="4" s="1"/>
  <c r="Q39" i="4"/>
  <c r="I39" i="4"/>
  <c r="R38" i="4"/>
  <c r="Q38" i="4"/>
  <c r="I38" i="4"/>
  <c r="S38" i="4" s="1"/>
  <c r="R37" i="4"/>
  <c r="Q37" i="4"/>
  <c r="S37" i="4"/>
  <c r="Q36" i="4"/>
  <c r="R35" i="4"/>
  <c r="Q35" i="4"/>
  <c r="I35" i="4"/>
  <c r="S35" i="4" s="1"/>
  <c r="Q34" i="4"/>
  <c r="I34" i="4"/>
  <c r="R34" i="4"/>
  <c r="R33" i="4"/>
  <c r="Q33" i="4"/>
  <c r="I33" i="4"/>
  <c r="Q32" i="4"/>
  <c r="I32" i="4"/>
  <c r="R31" i="4"/>
  <c r="Q31" i="4"/>
  <c r="S31" i="4"/>
  <c r="R30" i="4"/>
  <c r="Q30" i="4"/>
  <c r="I30" i="4"/>
  <c r="Q29" i="4"/>
  <c r="I29" i="4"/>
  <c r="R28" i="4"/>
  <c r="Q28" i="4"/>
  <c r="I28" i="4"/>
  <c r="S28" i="4" s="1"/>
  <c r="R27" i="4"/>
  <c r="Q27" i="4"/>
  <c r="I27" i="4"/>
  <c r="R26" i="4"/>
  <c r="Q26" i="4"/>
  <c r="I26" i="4"/>
  <c r="S26" i="4" s="1"/>
  <c r="Q25" i="4"/>
  <c r="I25" i="4"/>
  <c r="R25" i="4"/>
  <c r="R23" i="4"/>
  <c r="Q23" i="4"/>
  <c r="I23" i="4"/>
  <c r="S23" i="4" s="1"/>
  <c r="Q22" i="4"/>
  <c r="I22" i="4"/>
  <c r="R21" i="4"/>
  <c r="Q21" i="4"/>
  <c r="I21" i="4"/>
  <c r="S21" i="4" s="1"/>
  <c r="R20" i="4"/>
  <c r="Q20" i="4"/>
  <c r="I20" i="4"/>
  <c r="S20" i="4" s="1"/>
  <c r="Q18" i="4"/>
  <c r="R18" i="4"/>
  <c r="R16" i="4"/>
  <c r="Q16" i="4"/>
  <c r="I16" i="4"/>
  <c r="S16" i="4" s="1"/>
  <c r="R15" i="4"/>
  <c r="Q15" i="4"/>
  <c r="I15" i="4"/>
  <c r="R14" i="4"/>
  <c r="Q14" i="4"/>
  <c r="I14" i="4"/>
  <c r="R13" i="4"/>
  <c r="Q13" i="4"/>
  <c r="I13" i="4"/>
  <c r="S13" i="4" s="1"/>
  <c r="R12" i="4"/>
  <c r="Q12" i="4"/>
  <c r="I12" i="4"/>
  <c r="S12" i="4" s="1"/>
  <c r="Q11" i="4"/>
  <c r="I11" i="4"/>
  <c r="R10" i="4"/>
  <c r="Q10" i="4"/>
  <c r="I10" i="4"/>
  <c r="R8" i="4"/>
  <c r="Q8" i="4"/>
  <c r="I8" i="4"/>
  <c r="S8" i="4" s="1"/>
  <c r="R7" i="4"/>
  <c r="Q7" i="4"/>
  <c r="I7" i="4"/>
  <c r="S7" i="4" s="1"/>
  <c r="R6" i="4"/>
  <c r="Q6" i="4"/>
  <c r="I6" i="4"/>
  <c r="R5" i="4"/>
  <c r="Q5" i="4"/>
  <c r="I5" i="4"/>
  <c r="S5" i="4" s="1"/>
  <c r="R4" i="4"/>
  <c r="Q4" i="4"/>
  <c r="I4" i="4"/>
  <c r="S4" i="4" s="1"/>
  <c r="R3" i="4"/>
  <c r="Q3" i="4"/>
  <c r="I3" i="4"/>
  <c r="S3" i="4" s="1"/>
  <c r="R2" i="4"/>
  <c r="I2" i="4"/>
  <c r="S62" i="4" l="1"/>
  <c r="S67" i="4"/>
  <c r="S75" i="4"/>
  <c r="S15" i="4"/>
  <c r="S53" i="4"/>
  <c r="S57" i="4"/>
  <c r="S61" i="4"/>
  <c r="S66" i="4"/>
  <c r="S48" i="4"/>
  <c r="S32" i="4"/>
  <c r="S29" i="4"/>
  <c r="S25" i="4"/>
  <c r="S2" i="4"/>
  <c r="S33" i="4"/>
  <c r="S22" i="4"/>
  <c r="S6" i="4"/>
  <c r="R11" i="4"/>
  <c r="S27" i="4"/>
  <c r="S30" i="4"/>
  <c r="S34" i="4"/>
  <c r="S47" i="4"/>
  <c r="S10" i="4"/>
  <c r="S11" i="4"/>
  <c r="S14" i="4"/>
  <c r="R22" i="4"/>
  <c r="R36" i="4"/>
  <c r="S39" i="4"/>
  <c r="S42" i="4"/>
  <c r="S45" i="4"/>
  <c r="S49" i="4"/>
  <c r="S71" i="4"/>
  <c r="R39" i="4"/>
  <c r="R42" i="4"/>
  <c r="S18" i="4"/>
  <c r="I36" i="4"/>
  <c r="S36" i="4" s="1"/>
  <c r="R29" i="4"/>
  <c r="R32" i="4"/>
  <c r="R49" i="4"/>
  <c r="R71" i="4"/>
  <c r="I75" i="3"/>
  <c r="G71" i="3"/>
  <c r="I71" i="3" s="1"/>
  <c r="Q23" i="3"/>
  <c r="G21" i="3"/>
  <c r="I21" i="3" s="1"/>
  <c r="S21" i="3" s="1"/>
  <c r="G17" i="3"/>
  <c r="I17" i="3" s="1"/>
  <c r="S17" i="3" s="1"/>
  <c r="G11" i="3"/>
  <c r="I11" i="3" s="1"/>
  <c r="G49" i="3"/>
  <c r="G47" i="3"/>
  <c r="G44" i="3"/>
  <c r="I44" i="3" s="1"/>
  <c r="G42" i="3"/>
  <c r="I42" i="3" s="1"/>
  <c r="G39" i="3"/>
  <c r="R39" i="3" s="1"/>
  <c r="G36" i="3"/>
  <c r="G34" i="3"/>
  <c r="I34" i="3" s="1"/>
  <c r="G32" i="3"/>
  <c r="I32" i="3" s="1"/>
  <c r="G29" i="3"/>
  <c r="R29" i="3" s="1"/>
  <c r="G25" i="3"/>
  <c r="Q75" i="3"/>
  <c r="P75" i="3"/>
  <c r="R74" i="3"/>
  <c r="Q74" i="3"/>
  <c r="P74" i="3"/>
  <c r="I74" i="3"/>
  <c r="R73" i="3"/>
  <c r="Q73" i="3"/>
  <c r="P73" i="3"/>
  <c r="I73" i="3"/>
  <c r="R72" i="3"/>
  <c r="Q72" i="3"/>
  <c r="P72" i="3"/>
  <c r="I72" i="3"/>
  <c r="Q71" i="3"/>
  <c r="P71" i="3"/>
  <c r="R69" i="3"/>
  <c r="Q69" i="3"/>
  <c r="P69" i="3"/>
  <c r="I69" i="3"/>
  <c r="R68" i="3"/>
  <c r="Q68" i="3"/>
  <c r="P68" i="3"/>
  <c r="I68" i="3"/>
  <c r="R67" i="3"/>
  <c r="Q67" i="3"/>
  <c r="P67" i="3"/>
  <c r="I67" i="3"/>
  <c r="R66" i="3"/>
  <c r="Q66" i="3"/>
  <c r="P66" i="3"/>
  <c r="I66" i="3"/>
  <c r="R64" i="3"/>
  <c r="Q64" i="3"/>
  <c r="P64" i="3"/>
  <c r="I64" i="3"/>
  <c r="R63" i="3"/>
  <c r="Q63" i="3"/>
  <c r="P63" i="3"/>
  <c r="I63" i="3"/>
  <c r="R62" i="3"/>
  <c r="Q62" i="3"/>
  <c r="P62" i="3"/>
  <c r="I62" i="3"/>
  <c r="R61" i="3"/>
  <c r="Q61" i="3"/>
  <c r="P61" i="3"/>
  <c r="I61" i="3"/>
  <c r="R60" i="3"/>
  <c r="Q60" i="3"/>
  <c r="P60" i="3"/>
  <c r="I60" i="3"/>
  <c r="R59" i="3"/>
  <c r="Q59" i="3"/>
  <c r="P59" i="3"/>
  <c r="I59" i="3"/>
  <c r="R58" i="3"/>
  <c r="Q58" i="3"/>
  <c r="P58" i="3"/>
  <c r="I58" i="3"/>
  <c r="R57" i="3"/>
  <c r="Q57" i="3"/>
  <c r="P57" i="3"/>
  <c r="I57" i="3"/>
  <c r="R56" i="3"/>
  <c r="Q56" i="3"/>
  <c r="P56" i="3"/>
  <c r="I56" i="3"/>
  <c r="R55" i="3"/>
  <c r="Q55" i="3"/>
  <c r="P55" i="3"/>
  <c r="I55" i="3"/>
  <c r="R54" i="3"/>
  <c r="Q54" i="3"/>
  <c r="P54" i="3"/>
  <c r="I54" i="3"/>
  <c r="R53" i="3"/>
  <c r="Q53" i="3"/>
  <c r="P53" i="3"/>
  <c r="I53" i="3"/>
  <c r="R52" i="3"/>
  <c r="Q52" i="3"/>
  <c r="P52" i="3"/>
  <c r="I52" i="3"/>
  <c r="R50" i="3"/>
  <c r="Q50" i="3"/>
  <c r="P50" i="3"/>
  <c r="I50" i="3"/>
  <c r="R49" i="3"/>
  <c r="Q49" i="3"/>
  <c r="P49" i="3"/>
  <c r="I49" i="3"/>
  <c r="R48" i="3"/>
  <c r="Q48" i="3"/>
  <c r="P48" i="3"/>
  <c r="I48" i="3"/>
  <c r="R47" i="3"/>
  <c r="Q47" i="3"/>
  <c r="P47" i="3"/>
  <c r="I47" i="3"/>
  <c r="R46" i="3"/>
  <c r="Q46" i="3"/>
  <c r="P46" i="3"/>
  <c r="I46" i="3"/>
  <c r="R45" i="3"/>
  <c r="Q45" i="3"/>
  <c r="P45" i="3"/>
  <c r="I45" i="3"/>
  <c r="R44" i="3"/>
  <c r="Q44" i="3"/>
  <c r="P44" i="3"/>
  <c r="R43" i="3"/>
  <c r="Q43" i="3"/>
  <c r="P43" i="3"/>
  <c r="I43" i="3"/>
  <c r="Q42" i="3"/>
  <c r="P42" i="3"/>
  <c r="R41" i="3"/>
  <c r="Q41" i="3"/>
  <c r="P41" i="3"/>
  <c r="I41" i="3"/>
  <c r="R40" i="3"/>
  <c r="Q40" i="3"/>
  <c r="P40" i="3"/>
  <c r="I40" i="3"/>
  <c r="Q39" i="3"/>
  <c r="P39" i="3"/>
  <c r="I39" i="3"/>
  <c r="R38" i="3"/>
  <c r="Q38" i="3"/>
  <c r="P38" i="3"/>
  <c r="I38" i="3"/>
  <c r="R37" i="3"/>
  <c r="Q37" i="3"/>
  <c r="P37" i="3"/>
  <c r="I37" i="3"/>
  <c r="R36" i="3"/>
  <c r="Q36" i="3"/>
  <c r="P36" i="3"/>
  <c r="I36" i="3"/>
  <c r="R35" i="3"/>
  <c r="Q35" i="3"/>
  <c r="P35" i="3"/>
  <c r="I35" i="3"/>
  <c r="R34" i="3"/>
  <c r="Q34" i="3"/>
  <c r="P34" i="3"/>
  <c r="R33" i="3"/>
  <c r="Q33" i="3"/>
  <c r="P33" i="3"/>
  <c r="I33" i="3"/>
  <c r="Q32" i="3"/>
  <c r="P32" i="3"/>
  <c r="R31" i="3"/>
  <c r="Q31" i="3"/>
  <c r="P31" i="3"/>
  <c r="I31" i="3"/>
  <c r="R30" i="3"/>
  <c r="Q30" i="3"/>
  <c r="P30" i="3"/>
  <c r="I30" i="3"/>
  <c r="Q29" i="3"/>
  <c r="P29" i="3"/>
  <c r="I29" i="3"/>
  <c r="R28" i="3"/>
  <c r="Q28" i="3"/>
  <c r="P28" i="3"/>
  <c r="I28" i="3"/>
  <c r="R27" i="3"/>
  <c r="Q27" i="3"/>
  <c r="P27" i="3"/>
  <c r="I27" i="3"/>
  <c r="S27" i="3" s="1"/>
  <c r="R26" i="3"/>
  <c r="Q26" i="3"/>
  <c r="P26" i="3"/>
  <c r="I26" i="3"/>
  <c r="S26" i="3" s="1"/>
  <c r="R25" i="3"/>
  <c r="Q25" i="3"/>
  <c r="P25" i="3"/>
  <c r="I25" i="3"/>
  <c r="S25" i="3" s="1"/>
  <c r="R23" i="3"/>
  <c r="P23" i="3"/>
  <c r="I23" i="3"/>
  <c r="R22" i="3"/>
  <c r="Q22" i="3"/>
  <c r="P22" i="3"/>
  <c r="I22" i="3"/>
  <c r="S22" i="3" s="1"/>
  <c r="R21" i="3"/>
  <c r="Q21" i="3"/>
  <c r="P21" i="3"/>
  <c r="R20" i="3"/>
  <c r="Q20" i="3"/>
  <c r="P20" i="3"/>
  <c r="I20" i="3"/>
  <c r="S20" i="3" s="1"/>
  <c r="R19" i="3"/>
  <c r="Q19" i="3"/>
  <c r="P19" i="3"/>
  <c r="I19" i="3"/>
  <c r="S19" i="3" s="1"/>
  <c r="R18" i="3"/>
  <c r="Q18" i="3"/>
  <c r="P18" i="3"/>
  <c r="I18" i="3"/>
  <c r="S18" i="3" s="1"/>
  <c r="Q17" i="3"/>
  <c r="P17" i="3"/>
  <c r="R16" i="3"/>
  <c r="Q16" i="3"/>
  <c r="P16" i="3"/>
  <c r="I16" i="3"/>
  <c r="R15" i="3"/>
  <c r="Q15" i="3"/>
  <c r="P15" i="3"/>
  <c r="I15" i="3"/>
  <c r="R14" i="3"/>
  <c r="Q14" i="3"/>
  <c r="P14" i="3"/>
  <c r="I14" i="3"/>
  <c r="R13" i="3"/>
  <c r="Q13" i="3"/>
  <c r="P13" i="3"/>
  <c r="I13" i="3"/>
  <c r="R12" i="3"/>
  <c r="Q12" i="3"/>
  <c r="P12" i="3"/>
  <c r="I12" i="3"/>
  <c r="Q11" i="3"/>
  <c r="P11" i="3"/>
  <c r="R10" i="3"/>
  <c r="Q10" i="3"/>
  <c r="P10" i="3"/>
  <c r="I10" i="3"/>
  <c r="S10" i="3" s="1"/>
  <c r="R8" i="3"/>
  <c r="Q8" i="3"/>
  <c r="P8" i="3"/>
  <c r="I8" i="3"/>
  <c r="S8" i="3" s="1"/>
  <c r="R7" i="3"/>
  <c r="Q7" i="3"/>
  <c r="P7" i="3"/>
  <c r="I7" i="3"/>
  <c r="S7" i="3" s="1"/>
  <c r="R6" i="3"/>
  <c r="Q6" i="3"/>
  <c r="P6" i="3"/>
  <c r="I6" i="3"/>
  <c r="S6" i="3" s="1"/>
  <c r="R5" i="3"/>
  <c r="Q5" i="3"/>
  <c r="P5" i="3"/>
  <c r="I5" i="3"/>
  <c r="S5" i="3" s="1"/>
  <c r="R4" i="3"/>
  <c r="Q4" i="3"/>
  <c r="P4" i="3"/>
  <c r="I4" i="3"/>
  <c r="S4" i="3" s="1"/>
  <c r="R3" i="3"/>
  <c r="Q3" i="3"/>
  <c r="P3" i="3"/>
  <c r="I3" i="3"/>
  <c r="S3" i="3" s="1"/>
  <c r="R2" i="3"/>
  <c r="Q2" i="3"/>
  <c r="P2" i="3"/>
  <c r="I2" i="3"/>
  <c r="S2" i="3" s="1"/>
  <c r="R17" i="3" l="1"/>
  <c r="S23" i="3"/>
  <c r="S12" i="3"/>
  <c r="S13" i="3"/>
  <c r="S14" i="3"/>
  <c r="S15" i="3"/>
  <c r="S16" i="3"/>
  <c r="S11" i="3"/>
  <c r="R75" i="3"/>
  <c r="R71" i="3"/>
  <c r="R11" i="3"/>
  <c r="R42" i="3"/>
  <c r="R32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6" i="3"/>
  <c r="S67" i="3"/>
  <c r="S68" i="3"/>
  <c r="S69" i="3"/>
  <c r="S71" i="3"/>
  <c r="S72" i="3"/>
  <c r="S73" i="3"/>
  <c r="S74" i="3"/>
  <c r="S75" i="3"/>
  <c r="Q38" i="1"/>
  <c r="R73" i="2"/>
  <c r="Q73" i="2"/>
  <c r="P73" i="2"/>
  <c r="I73" i="2"/>
  <c r="S73" i="2" s="1"/>
  <c r="R72" i="2"/>
  <c r="Q72" i="2"/>
  <c r="P72" i="2"/>
  <c r="I72" i="2"/>
  <c r="S72" i="2" s="1"/>
  <c r="R71" i="2"/>
  <c r="Q71" i="2"/>
  <c r="P71" i="2"/>
  <c r="I71" i="2"/>
  <c r="S71" i="2" s="1"/>
  <c r="R70" i="2"/>
  <c r="Q70" i="2"/>
  <c r="P70" i="2"/>
  <c r="I70" i="2"/>
  <c r="S70" i="2" s="1"/>
  <c r="R69" i="2"/>
  <c r="Q69" i="2"/>
  <c r="P69" i="2"/>
  <c r="I69" i="2"/>
  <c r="S69" i="2" s="1"/>
  <c r="R67" i="2"/>
  <c r="Q67" i="2"/>
  <c r="P67" i="2"/>
  <c r="I67" i="2"/>
  <c r="S67" i="2" s="1"/>
  <c r="R66" i="2"/>
  <c r="Q66" i="2"/>
  <c r="P66" i="2"/>
  <c r="I66" i="2"/>
  <c r="S66" i="2" s="1"/>
  <c r="R65" i="2"/>
  <c r="Q65" i="2"/>
  <c r="P65" i="2"/>
  <c r="I65" i="2"/>
  <c r="S65" i="2" s="1"/>
  <c r="R64" i="2"/>
  <c r="Q64" i="2"/>
  <c r="P64" i="2"/>
  <c r="I64" i="2"/>
  <c r="S64" i="2" s="1"/>
  <c r="R62" i="2"/>
  <c r="Q62" i="2"/>
  <c r="P62" i="2"/>
  <c r="I62" i="2"/>
  <c r="S62" i="2" s="1"/>
  <c r="R61" i="2"/>
  <c r="Q61" i="2"/>
  <c r="P61" i="2"/>
  <c r="I61" i="2"/>
  <c r="S61" i="2" s="1"/>
  <c r="R60" i="2"/>
  <c r="Q60" i="2"/>
  <c r="P60" i="2"/>
  <c r="I60" i="2"/>
  <c r="S60" i="2" s="1"/>
  <c r="R59" i="2"/>
  <c r="Q59" i="2"/>
  <c r="P59" i="2"/>
  <c r="I59" i="2"/>
  <c r="S59" i="2" s="1"/>
  <c r="R58" i="2"/>
  <c r="Q58" i="2"/>
  <c r="P58" i="2"/>
  <c r="I58" i="2"/>
  <c r="S58" i="2" s="1"/>
  <c r="R57" i="2"/>
  <c r="Q57" i="2"/>
  <c r="P57" i="2"/>
  <c r="I57" i="2"/>
  <c r="S57" i="2" s="1"/>
  <c r="R56" i="2"/>
  <c r="Q56" i="2"/>
  <c r="P56" i="2"/>
  <c r="I56" i="2"/>
  <c r="S56" i="2" s="1"/>
  <c r="R55" i="2"/>
  <c r="Q55" i="2"/>
  <c r="P55" i="2"/>
  <c r="I55" i="2"/>
  <c r="S55" i="2" s="1"/>
  <c r="R54" i="2"/>
  <c r="Q54" i="2"/>
  <c r="P54" i="2"/>
  <c r="I54" i="2"/>
  <c r="S54" i="2" s="1"/>
  <c r="R53" i="2"/>
  <c r="Q53" i="2"/>
  <c r="P53" i="2"/>
  <c r="I53" i="2"/>
  <c r="S53" i="2" s="1"/>
  <c r="R52" i="2"/>
  <c r="Q52" i="2"/>
  <c r="P52" i="2"/>
  <c r="I52" i="2"/>
  <c r="S52" i="2" s="1"/>
  <c r="R51" i="2"/>
  <c r="Q51" i="2"/>
  <c r="P51" i="2"/>
  <c r="I51" i="2"/>
  <c r="S51" i="2" s="1"/>
  <c r="R49" i="2"/>
  <c r="Q49" i="2"/>
  <c r="P49" i="2"/>
  <c r="I49" i="2"/>
  <c r="S49" i="2" s="1"/>
  <c r="R48" i="2"/>
  <c r="Q48" i="2"/>
  <c r="P48" i="2"/>
  <c r="I48" i="2"/>
  <c r="S48" i="2" s="1"/>
  <c r="R47" i="2"/>
  <c r="Q47" i="2"/>
  <c r="P47" i="2"/>
  <c r="I47" i="2"/>
  <c r="S47" i="2" s="1"/>
  <c r="R46" i="2"/>
  <c r="Q46" i="2"/>
  <c r="P46" i="2"/>
  <c r="I46" i="2"/>
  <c r="S46" i="2" s="1"/>
  <c r="R45" i="2"/>
  <c r="Q45" i="2"/>
  <c r="P45" i="2"/>
  <c r="I45" i="2"/>
  <c r="S45" i="2" s="1"/>
  <c r="R44" i="2"/>
  <c r="Q44" i="2"/>
  <c r="P44" i="2"/>
  <c r="I44" i="2"/>
  <c r="S44" i="2" s="1"/>
  <c r="R43" i="2"/>
  <c r="Q43" i="2"/>
  <c r="P43" i="2"/>
  <c r="I43" i="2"/>
  <c r="S43" i="2" s="1"/>
  <c r="R42" i="2"/>
  <c r="Q42" i="2"/>
  <c r="P42" i="2"/>
  <c r="I42" i="2"/>
  <c r="S42" i="2" s="1"/>
  <c r="R41" i="2"/>
  <c r="Q41" i="2"/>
  <c r="P41" i="2"/>
  <c r="I41" i="2"/>
  <c r="S41" i="2" s="1"/>
  <c r="R40" i="2"/>
  <c r="Q40" i="2"/>
  <c r="P40" i="2"/>
  <c r="I40" i="2"/>
  <c r="S40" i="2" s="1"/>
  <c r="R39" i="2"/>
  <c r="Q39" i="2"/>
  <c r="P39" i="2"/>
  <c r="I39" i="2"/>
  <c r="S39" i="2" s="1"/>
  <c r="R38" i="2"/>
  <c r="Q38" i="2"/>
  <c r="P38" i="2"/>
  <c r="I38" i="2"/>
  <c r="S38" i="2" s="1"/>
  <c r="S37" i="2"/>
  <c r="R37" i="2"/>
  <c r="Q37" i="2"/>
  <c r="I37" i="2"/>
  <c r="R36" i="2"/>
  <c r="Q36" i="2"/>
  <c r="P36" i="2"/>
  <c r="I36" i="2"/>
  <c r="S36" i="2" s="1"/>
  <c r="R35" i="2"/>
  <c r="Q35" i="2"/>
  <c r="P35" i="2"/>
  <c r="I35" i="2"/>
  <c r="S35" i="2" s="1"/>
  <c r="R34" i="2"/>
  <c r="Q34" i="2"/>
  <c r="P34" i="2"/>
  <c r="I34" i="2"/>
  <c r="S34" i="2" s="1"/>
  <c r="R33" i="2"/>
  <c r="Q33" i="2"/>
  <c r="P33" i="2"/>
  <c r="I33" i="2"/>
  <c r="S33" i="2" s="1"/>
  <c r="R32" i="2"/>
  <c r="Q32" i="2"/>
  <c r="P32" i="2"/>
  <c r="I32" i="2"/>
  <c r="S32" i="2" s="1"/>
  <c r="R31" i="2"/>
  <c r="Q31" i="2"/>
  <c r="P31" i="2"/>
  <c r="I31" i="2"/>
  <c r="S31" i="2" s="1"/>
  <c r="R30" i="2"/>
  <c r="Q30" i="2"/>
  <c r="P30" i="2"/>
  <c r="I30" i="2"/>
  <c r="S30" i="2" s="1"/>
  <c r="R29" i="2"/>
  <c r="Q29" i="2"/>
  <c r="P29" i="2"/>
  <c r="I29" i="2"/>
  <c r="S29" i="2" s="1"/>
  <c r="R28" i="2"/>
  <c r="Q28" i="2"/>
  <c r="P28" i="2"/>
  <c r="I28" i="2"/>
  <c r="S28" i="2" s="1"/>
  <c r="R27" i="2"/>
  <c r="Q27" i="2"/>
  <c r="P27" i="2"/>
  <c r="I27" i="2"/>
  <c r="S27" i="2" s="1"/>
  <c r="R26" i="2"/>
  <c r="Q26" i="2"/>
  <c r="P26" i="2"/>
  <c r="I26" i="2"/>
  <c r="S26" i="2" s="1"/>
  <c r="R25" i="2"/>
  <c r="Q25" i="2"/>
  <c r="P25" i="2"/>
  <c r="I25" i="2"/>
  <c r="S25" i="2" s="1"/>
  <c r="R24" i="2"/>
  <c r="Q24" i="2"/>
  <c r="P24" i="2"/>
  <c r="I24" i="2"/>
  <c r="S24" i="2" s="1"/>
  <c r="R22" i="2"/>
  <c r="P22" i="2"/>
  <c r="I22" i="2"/>
  <c r="S22" i="2" s="1"/>
  <c r="R21" i="2"/>
  <c r="Q21" i="2"/>
  <c r="P21" i="2"/>
  <c r="I21" i="2"/>
  <c r="S21" i="2" s="1"/>
  <c r="R20" i="2"/>
  <c r="Q20" i="2"/>
  <c r="P20" i="2"/>
  <c r="I20" i="2"/>
  <c r="S20" i="2" s="1"/>
  <c r="R19" i="2"/>
  <c r="Q19" i="2"/>
  <c r="P19" i="2"/>
  <c r="I19" i="2"/>
  <c r="S19" i="2" s="1"/>
  <c r="R18" i="2"/>
  <c r="Q18" i="2"/>
  <c r="P18" i="2"/>
  <c r="I18" i="2"/>
  <c r="S18" i="2" s="1"/>
  <c r="R17" i="2"/>
  <c r="Q17" i="2"/>
  <c r="P17" i="2"/>
  <c r="I17" i="2"/>
  <c r="S17" i="2" s="1"/>
  <c r="R16" i="2"/>
  <c r="Q16" i="2"/>
  <c r="P16" i="2"/>
  <c r="I16" i="2"/>
  <c r="S16" i="2" s="1"/>
  <c r="R15" i="2"/>
  <c r="Q15" i="2"/>
  <c r="P15" i="2"/>
  <c r="I15" i="2"/>
  <c r="S15" i="2" s="1"/>
  <c r="R14" i="2"/>
  <c r="Q14" i="2"/>
  <c r="P14" i="2"/>
  <c r="I14" i="2"/>
  <c r="S14" i="2" s="1"/>
  <c r="R13" i="2"/>
  <c r="Q13" i="2"/>
  <c r="P13" i="2"/>
  <c r="I13" i="2"/>
  <c r="S13" i="2" s="1"/>
  <c r="R12" i="2"/>
  <c r="Q12" i="2"/>
  <c r="P12" i="2"/>
  <c r="I12" i="2"/>
  <c r="S12" i="2" s="1"/>
  <c r="R11" i="2"/>
  <c r="Q11" i="2"/>
  <c r="P11" i="2"/>
  <c r="I11" i="2"/>
  <c r="S11" i="2" s="1"/>
  <c r="R10" i="2"/>
  <c r="Q10" i="2"/>
  <c r="P10" i="2"/>
  <c r="I10" i="2"/>
  <c r="S10" i="2" s="1"/>
  <c r="R8" i="2"/>
  <c r="Q8" i="2"/>
  <c r="P8" i="2"/>
  <c r="I8" i="2"/>
  <c r="S8" i="2" s="1"/>
  <c r="R7" i="2"/>
  <c r="Q7" i="2"/>
  <c r="P7" i="2"/>
  <c r="I7" i="2"/>
  <c r="S7" i="2" s="1"/>
  <c r="R6" i="2"/>
  <c r="Q6" i="2"/>
  <c r="P6" i="2"/>
  <c r="I6" i="2"/>
  <c r="S6" i="2" s="1"/>
  <c r="R5" i="2"/>
  <c r="Q5" i="2"/>
  <c r="P5" i="2"/>
  <c r="I5" i="2"/>
  <c r="S5" i="2" s="1"/>
  <c r="R4" i="2"/>
  <c r="Q4" i="2"/>
  <c r="P4" i="2"/>
  <c r="I4" i="2"/>
  <c r="S4" i="2" s="1"/>
  <c r="R3" i="2"/>
  <c r="Q3" i="2"/>
  <c r="P3" i="2"/>
  <c r="I3" i="2"/>
  <c r="S3" i="2" s="1"/>
  <c r="R2" i="2"/>
  <c r="Q2" i="2"/>
  <c r="P2" i="2"/>
  <c r="I2" i="2"/>
  <c r="S2" i="2" s="1"/>
  <c r="Q64" i="1" l="1"/>
  <c r="R64" i="1"/>
  <c r="P64" i="1"/>
  <c r="I64" i="1"/>
  <c r="Q23" i="1"/>
  <c r="R23" i="1"/>
  <c r="P23" i="1"/>
  <c r="I23" i="1"/>
  <c r="S23" i="1" l="1"/>
  <c r="S64" i="1"/>
  <c r="Q22" i="1"/>
  <c r="Q21" i="1"/>
  <c r="P75" i="1" l="1"/>
  <c r="P74" i="1"/>
  <c r="P73" i="1"/>
  <c r="P72" i="1"/>
  <c r="P71" i="1"/>
  <c r="P69" i="1"/>
  <c r="P68" i="1"/>
  <c r="P67" i="1"/>
  <c r="P66" i="1"/>
  <c r="P63" i="1"/>
  <c r="P62" i="1"/>
  <c r="P61" i="1"/>
  <c r="P60" i="1"/>
  <c r="P59" i="1"/>
  <c r="P58" i="1"/>
  <c r="P57" i="1"/>
  <c r="P56" i="1"/>
  <c r="P55" i="1"/>
  <c r="P54" i="1"/>
  <c r="P53" i="1"/>
  <c r="P52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8" i="1"/>
  <c r="P7" i="1"/>
  <c r="P6" i="1"/>
  <c r="P5" i="1"/>
  <c r="P4" i="1"/>
  <c r="P3" i="1"/>
  <c r="P2" i="1"/>
  <c r="R75" i="1"/>
  <c r="Q75" i="1"/>
  <c r="I75" i="1"/>
  <c r="R74" i="1"/>
  <c r="Q74" i="1"/>
  <c r="I74" i="1"/>
  <c r="R73" i="1"/>
  <c r="Q73" i="1"/>
  <c r="I73" i="1"/>
  <c r="R72" i="1"/>
  <c r="Q72" i="1"/>
  <c r="I72" i="1"/>
  <c r="R71" i="1"/>
  <c r="Q71" i="1"/>
  <c r="I71" i="1"/>
  <c r="R69" i="1"/>
  <c r="Q69" i="1"/>
  <c r="I69" i="1"/>
  <c r="R68" i="1"/>
  <c r="Q68" i="1"/>
  <c r="I68" i="1"/>
  <c r="R67" i="1"/>
  <c r="Q67" i="1"/>
  <c r="I67" i="1"/>
  <c r="R66" i="1"/>
  <c r="Q66" i="1"/>
  <c r="I66" i="1"/>
  <c r="R63" i="1"/>
  <c r="Q63" i="1"/>
  <c r="I63" i="1"/>
  <c r="S63" i="1" s="1"/>
  <c r="R62" i="1"/>
  <c r="Q62" i="1"/>
  <c r="I62" i="1"/>
  <c r="R61" i="1"/>
  <c r="Q61" i="1"/>
  <c r="I61" i="1"/>
  <c r="R60" i="1"/>
  <c r="Q60" i="1"/>
  <c r="I60" i="1"/>
  <c r="R59" i="1"/>
  <c r="Q59" i="1"/>
  <c r="I59" i="1"/>
  <c r="S59" i="1" s="1"/>
  <c r="R58" i="1"/>
  <c r="Q58" i="1"/>
  <c r="I58" i="1"/>
  <c r="R57" i="1"/>
  <c r="Q57" i="1"/>
  <c r="I57" i="1"/>
  <c r="R56" i="1"/>
  <c r="Q56" i="1"/>
  <c r="I56" i="1"/>
  <c r="R55" i="1"/>
  <c r="Q55" i="1"/>
  <c r="I55" i="1"/>
  <c r="S55" i="1" s="1"/>
  <c r="R54" i="1"/>
  <c r="Q54" i="1"/>
  <c r="I54" i="1"/>
  <c r="R53" i="1"/>
  <c r="Q53" i="1"/>
  <c r="I53" i="1"/>
  <c r="R52" i="1"/>
  <c r="Q52" i="1"/>
  <c r="I52" i="1"/>
  <c r="R50" i="1"/>
  <c r="Q50" i="1"/>
  <c r="I50" i="1"/>
  <c r="S50" i="1" s="1"/>
  <c r="R49" i="1"/>
  <c r="Q49" i="1"/>
  <c r="I49" i="1"/>
  <c r="R48" i="1"/>
  <c r="Q48" i="1"/>
  <c r="I48" i="1"/>
  <c r="R47" i="1"/>
  <c r="Q47" i="1"/>
  <c r="I47" i="1"/>
  <c r="R46" i="1"/>
  <c r="Q46" i="1"/>
  <c r="I46" i="1"/>
  <c r="S46" i="1" s="1"/>
  <c r="R45" i="1"/>
  <c r="Q45" i="1"/>
  <c r="I45" i="1"/>
  <c r="R44" i="1"/>
  <c r="Q44" i="1"/>
  <c r="I44" i="1"/>
  <c r="R43" i="1"/>
  <c r="Q43" i="1"/>
  <c r="I43" i="1"/>
  <c r="R42" i="1"/>
  <c r="Q42" i="1"/>
  <c r="I42" i="1"/>
  <c r="S42" i="1" s="1"/>
  <c r="R41" i="1"/>
  <c r="Q41" i="1"/>
  <c r="I41" i="1"/>
  <c r="R40" i="1"/>
  <c r="Q40" i="1"/>
  <c r="I40" i="1"/>
  <c r="R39" i="1"/>
  <c r="Q39" i="1"/>
  <c r="I39" i="1"/>
  <c r="R38" i="1"/>
  <c r="I38" i="1"/>
  <c r="S38" i="1" s="1"/>
  <c r="R37" i="1"/>
  <c r="Q37" i="1"/>
  <c r="I37" i="1"/>
  <c r="R36" i="1"/>
  <c r="Q36" i="1"/>
  <c r="I36" i="1"/>
  <c r="R35" i="1"/>
  <c r="Q35" i="1"/>
  <c r="I35" i="1"/>
  <c r="R34" i="1"/>
  <c r="Q34" i="1"/>
  <c r="I34" i="1"/>
  <c r="S34" i="1" s="1"/>
  <c r="R33" i="1"/>
  <c r="Q33" i="1"/>
  <c r="I33" i="1"/>
  <c r="R32" i="1"/>
  <c r="Q32" i="1"/>
  <c r="I32" i="1"/>
  <c r="R31" i="1"/>
  <c r="Q31" i="1"/>
  <c r="I31" i="1"/>
  <c r="R30" i="1"/>
  <c r="Q30" i="1"/>
  <c r="I30" i="1"/>
  <c r="S30" i="1" s="1"/>
  <c r="R29" i="1"/>
  <c r="Q29" i="1"/>
  <c r="I29" i="1"/>
  <c r="R28" i="1"/>
  <c r="Q28" i="1"/>
  <c r="I28" i="1"/>
  <c r="R27" i="1"/>
  <c r="Q27" i="1"/>
  <c r="I27" i="1"/>
  <c r="R26" i="1"/>
  <c r="Q26" i="1"/>
  <c r="I26" i="1"/>
  <c r="S26" i="1" s="1"/>
  <c r="R25" i="1"/>
  <c r="Q25" i="1"/>
  <c r="I25" i="1"/>
  <c r="R22" i="1"/>
  <c r="I22" i="1"/>
  <c r="R21" i="1"/>
  <c r="I21" i="1"/>
  <c r="S21" i="1" s="1"/>
  <c r="R20" i="1"/>
  <c r="Q20" i="1"/>
  <c r="I20" i="1"/>
  <c r="S20" i="1" s="1"/>
  <c r="R19" i="1"/>
  <c r="Q19" i="1"/>
  <c r="I19" i="1"/>
  <c r="R18" i="1"/>
  <c r="Q18" i="1"/>
  <c r="I18" i="1"/>
  <c r="R17" i="1"/>
  <c r="Q17" i="1"/>
  <c r="I17" i="1"/>
  <c r="S17" i="1" s="1"/>
  <c r="R16" i="1"/>
  <c r="Q16" i="1"/>
  <c r="I16" i="1"/>
  <c r="S16" i="1" s="1"/>
  <c r="R15" i="1"/>
  <c r="Q15" i="1"/>
  <c r="I15" i="1"/>
  <c r="R14" i="1"/>
  <c r="Q14" i="1"/>
  <c r="I14" i="1"/>
  <c r="R13" i="1"/>
  <c r="Q13" i="1"/>
  <c r="I13" i="1"/>
  <c r="S13" i="1" s="1"/>
  <c r="R12" i="1"/>
  <c r="Q12" i="1"/>
  <c r="I12" i="1"/>
  <c r="S12" i="1" s="1"/>
  <c r="R11" i="1"/>
  <c r="Q11" i="1"/>
  <c r="I11" i="1"/>
  <c r="R10" i="1"/>
  <c r="Q10" i="1"/>
  <c r="I10" i="1"/>
  <c r="R8" i="1"/>
  <c r="Q8" i="1"/>
  <c r="I8" i="1"/>
  <c r="S8" i="1" s="1"/>
  <c r="R7" i="1"/>
  <c r="Q7" i="1"/>
  <c r="I7" i="1"/>
  <c r="S7" i="1" s="1"/>
  <c r="R6" i="1"/>
  <c r="Q6" i="1"/>
  <c r="I6" i="1"/>
  <c r="R5" i="1"/>
  <c r="Q5" i="1"/>
  <c r="I5" i="1"/>
  <c r="R4" i="1"/>
  <c r="Q4" i="1"/>
  <c r="I4" i="1"/>
  <c r="S4" i="1" s="1"/>
  <c r="R3" i="1"/>
  <c r="Q3" i="1"/>
  <c r="I3" i="1"/>
  <c r="S3" i="1" s="1"/>
  <c r="R2" i="1"/>
  <c r="Q2" i="1"/>
  <c r="I2" i="1"/>
  <c r="S48" i="1" l="1"/>
  <c r="S53" i="1"/>
  <c r="S61" i="1"/>
  <c r="S40" i="1"/>
  <c r="S44" i="1"/>
  <c r="S57" i="1"/>
  <c r="S67" i="1"/>
  <c r="S72" i="1"/>
  <c r="S22" i="1"/>
  <c r="S27" i="1"/>
  <c r="S31" i="1"/>
  <c r="S35" i="1"/>
  <c r="S39" i="1"/>
  <c r="S43" i="1"/>
  <c r="S47" i="1"/>
  <c r="S52" i="1"/>
  <c r="S56" i="1"/>
  <c r="S60" i="1"/>
  <c r="S2" i="1"/>
  <c r="S6" i="1"/>
  <c r="S11" i="1"/>
  <c r="S15" i="1"/>
  <c r="S19" i="1"/>
  <c r="S25" i="1"/>
  <c r="S29" i="1"/>
  <c r="S33" i="1"/>
  <c r="S37" i="1"/>
  <c r="S66" i="1"/>
  <c r="S71" i="1"/>
  <c r="S75" i="1"/>
  <c r="S68" i="1"/>
  <c r="S73" i="1"/>
  <c r="S5" i="1"/>
  <c r="S10" i="1"/>
  <c r="S14" i="1"/>
  <c r="S18" i="1"/>
  <c r="S28" i="1"/>
  <c r="S32" i="1"/>
  <c r="S36" i="1"/>
  <c r="S41" i="1"/>
  <c r="S45" i="1"/>
  <c r="S49" i="1"/>
  <c r="S54" i="1"/>
  <c r="S58" i="1"/>
  <c r="S62" i="1"/>
  <c r="S69" i="1"/>
  <c r="S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Deatherage, Nick</author>
  </authors>
  <commentList>
    <comment ref="C1" authorId="0" shapeId="0" xr:uid="{5C9C2965-D2F6-499D-A11A-3F7B4FD4937B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Includes TAV where applicable</t>
        </r>
      </text>
    </comment>
    <comment ref="G1" authorId="0" shapeId="0" xr:uid="{E41C81A0-97FB-4226-AE49-CFFA3032B112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Includes admin refund either by adding to rate, or copying total rate</t>
        </r>
      </text>
    </comment>
    <comment ref="I1" authorId="0" shapeId="0" xr:uid="{55371C01-0805-4074-83B6-FBD95016A765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Sometimes admin refund amount added here instead of too rate, depends on how levies are broken down on cert of levies report</t>
        </r>
      </text>
    </comment>
    <comment ref="J1" authorId="0" shapeId="0" xr:uid="{D7DF53A2-1FB6-4912-B8C0-AE98DB1FDA4F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Includes TAV where applicable</t>
        </r>
      </text>
    </comment>
    <comment ref="N1" authorId="0" shapeId="0" xr:uid="{C80CA4E7-AE53-4DB0-B4A9-C956310DBEAD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Includes admin refund either by adding to rate, or copying total rate</t>
        </r>
      </text>
    </comment>
    <comment ref="P1" authorId="0" shapeId="0" xr:uid="{0130FAEB-75B5-459F-9D29-A63D9720C986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Sometimes admin refund amount added here instead of too rate, depends on how levies are broken down on cert of levies report</t>
        </r>
      </text>
    </comment>
    <comment ref="T3" authorId="0" shapeId="0" xr:uid="{F0DFB821-216E-4788-8638-4C139EA1E9DF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State Law Engrossed House Bill 2242</t>
        </r>
      </text>
    </comment>
    <comment ref="T16" authorId="0" shapeId="0" xr:uid="{44D017BD-9B7A-442A-A9E1-6D77009471D1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New Construction - Incrased tax base</t>
        </r>
      </text>
    </comment>
    <comment ref="T22" authorId="0" shapeId="0" xr:uid="{DF357718-9335-44BC-91F0-D2EDC86CFDC3}">
      <text>
        <r>
          <rPr>
            <b/>
            <sz val="9"/>
            <color indexed="81"/>
            <rFont val="Tahoma"/>
            <charset val="1"/>
          </rPr>
          <t>Deatherage, Nick:</t>
        </r>
        <r>
          <rPr>
            <sz val="9"/>
            <color indexed="81"/>
            <rFont val="Tahoma"/>
            <charset val="1"/>
          </rPr>
          <t xml:space="preserve">
Lid Lift</t>
        </r>
      </text>
    </comment>
    <comment ref="T24" authorId="0" shapeId="0" xr:uid="{E920DB73-FD1D-4116-9FDD-AC7AF9DFB411}">
      <text>
        <r>
          <rPr>
            <b/>
            <sz val="9"/>
            <color indexed="81"/>
            <rFont val="Tahoma"/>
            <charset val="1"/>
          </rPr>
          <t>Deatherage, Nick:</t>
        </r>
        <r>
          <rPr>
            <sz val="9"/>
            <color indexed="81"/>
            <rFont val="Tahoma"/>
            <charset val="1"/>
          </rPr>
          <t xml:space="preserve">
Renewal</t>
        </r>
      </text>
    </comment>
    <comment ref="T28" authorId="0" shapeId="0" xr:uid="{C0EFCF07-4E0A-4F0E-974F-45A457622150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Based on agreed upon increase in voter approve ballot measure language</t>
        </r>
      </text>
    </comment>
    <comment ref="T38" authorId="0" shapeId="0" xr:uid="{C7536391-E616-4610-B39F-2EA448C447EF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Increased enrichment levy from $1.50 to $1.98</t>
        </r>
      </text>
    </comment>
    <comment ref="T44" authorId="0" shapeId="0" xr:uid="{47516E31-4E4B-41AC-845F-A524CAC863D4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Increase enrichment levy from $1.50 to $2.15</t>
        </r>
      </text>
    </comment>
    <comment ref="T47" authorId="0" shapeId="0" xr:uid="{81A66CB4-E686-406F-A5DD-5B2B10310289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Increased enrichment from $1.50 to $2.50</t>
        </r>
      </text>
    </comment>
    <comment ref="T56" authorId="0" shapeId="0" xr:uid="{78AA947D-F70E-4FC5-83D4-6967F73B3EB8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Lid Lift</t>
        </r>
      </text>
    </comment>
    <comment ref="T61" authorId="0" shapeId="0" xr:uid="{706087EA-9092-4174-BFE8-1C0169A27F46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EMS Levy Renewal</t>
        </r>
      </text>
    </comment>
    <comment ref="T72" authorId="0" shapeId="0" xr:uid="{8AC54EE5-C031-48C0-B59A-FA1AAC5051DB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Port of Vancouver elected to used its long saved banked levy capacity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Deatherage, Nick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Includes TAV where applicable</t>
        </r>
      </text>
    </comment>
    <comment ref="G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Includes admin refund either by adding to rate, or copying total rate</t>
        </r>
      </text>
    </comment>
    <comment ref="I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Sometimes admin refund amount added here instead of too rate, depends on how levies are broken down on cert of levies report</t>
        </r>
      </text>
    </comment>
    <comment ref="J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Includes TAV where applicable</t>
        </r>
      </text>
    </comment>
    <comment ref="N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Includes admin refund either by adding to rate, or copying total rate</t>
        </r>
      </text>
    </comment>
    <comment ref="P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Deatherage, Nick:</t>
        </r>
        <r>
          <rPr>
            <sz val="9"/>
            <color indexed="81"/>
            <rFont val="Tahoma"/>
            <family val="2"/>
          </rPr>
          <t xml:space="preserve">
Sometimes admin refund amount added here instead of too rate, depends on how levies are broken down on cert of levies report</t>
        </r>
      </text>
    </comment>
  </commentList>
</comments>
</file>

<file path=xl/sharedStrings.xml><?xml version="1.0" encoding="utf-8"?>
<sst xmlns="http://schemas.openxmlformats.org/spreadsheetml/2006/main" count="3960" uniqueCount="131">
  <si>
    <t>Levy</t>
  </si>
  <si>
    <t>Levy Type</t>
  </si>
  <si>
    <t>AV for 2014 Taxes</t>
  </si>
  <si>
    <t>Rate per 1,000 AV</t>
  </si>
  <si>
    <t>2014 Levy Rate</t>
  </si>
  <si>
    <t>Tax</t>
  </si>
  <si>
    <t>AV</t>
  </si>
  <si>
    <r>
      <rPr>
        <b/>
        <u/>
        <sz val="11"/>
        <color theme="1"/>
        <rFont val="Calibri"/>
        <family val="2"/>
        <scheme val="minor"/>
      </rPr>
      <t xml:space="preserve">Differences
</t>
    </r>
    <r>
      <rPr>
        <b/>
        <sz val="11"/>
        <color theme="1"/>
        <rFont val="Calibri"/>
        <family val="2"/>
        <scheme val="minor"/>
      </rPr>
      <t>Rate</t>
    </r>
  </si>
  <si>
    <t>State Schools</t>
  </si>
  <si>
    <t>Regular</t>
  </si>
  <si>
    <t>\</t>
  </si>
  <si>
    <t>x</t>
  </si>
  <si>
    <t>=</t>
  </si>
  <si>
    <t>County Current Expense</t>
  </si>
  <si>
    <t>Conservation Futures</t>
  </si>
  <si>
    <t>County Roads</t>
  </si>
  <si>
    <t>Metro Parks</t>
  </si>
  <si>
    <t>Ft Vancouver Library</t>
  </si>
  <si>
    <t>Vancouver Library Capital Improvement Facility Area</t>
  </si>
  <si>
    <t>Excess</t>
  </si>
  <si>
    <t>Cities and Towns</t>
  </si>
  <si>
    <t>City of Battle Grnd GF</t>
  </si>
  <si>
    <t>City of Camas GF</t>
  </si>
  <si>
    <t>City of Camas EMS</t>
  </si>
  <si>
    <t>City of Camas Library Bond</t>
  </si>
  <si>
    <t>City of La Center GF</t>
  </si>
  <si>
    <t>City of Ridgefield GF</t>
  </si>
  <si>
    <t>City of Vancouver GF</t>
  </si>
  <si>
    <t>City of Washougal GF</t>
  </si>
  <si>
    <t>City of Washougal EMS</t>
  </si>
  <si>
    <t>City of Washougal Public Safety Bond</t>
  </si>
  <si>
    <t>City of Woodland GF</t>
  </si>
  <si>
    <t>School Districts</t>
  </si>
  <si>
    <t>#037 Vancouver M&amp;O</t>
  </si>
  <si>
    <t>#037 Debt Service</t>
  </si>
  <si>
    <t>#037 Capital Projects-Tech</t>
  </si>
  <si>
    <t>#093 Mt Pleasant M&amp;O</t>
  </si>
  <si>
    <t>#098 Hockinson M&amp;O</t>
  </si>
  <si>
    <t>#098 Debt Service</t>
  </si>
  <si>
    <t>#098 Capital Projects</t>
  </si>
  <si>
    <t>#101 LaCenter M&amp;O</t>
  </si>
  <si>
    <t>#101 Debt Service</t>
  </si>
  <si>
    <t>#102 Woodland M&amp;O</t>
  </si>
  <si>
    <t>#102 Debt Service</t>
  </si>
  <si>
    <t>#103 Green Mtn M&amp;O</t>
  </si>
  <si>
    <t>#103 Debt Service</t>
  </si>
  <si>
    <t>#103 Capital Projects</t>
  </si>
  <si>
    <t>#112 Washougal M&amp;O</t>
  </si>
  <si>
    <t>#112 Debt Service</t>
  </si>
  <si>
    <t>#112 Capital Projects-Tech</t>
  </si>
  <si>
    <t>#114 Evergreen M&amp;O</t>
  </si>
  <si>
    <t>#114 Debt Service</t>
  </si>
  <si>
    <t>#117 Camas M&amp;O</t>
  </si>
  <si>
    <t>#117 Debt Service</t>
  </si>
  <si>
    <t>#117 Capital Projects-Tech</t>
  </si>
  <si>
    <t>#119 Battle Grnd M&amp;O</t>
  </si>
  <si>
    <t>#119 Debt Service</t>
  </si>
  <si>
    <t>#122 Ridgefield M&amp;O</t>
  </si>
  <si>
    <t>#122 Debt Service</t>
  </si>
  <si>
    <t>Fire &amp; EMS Districts</t>
  </si>
  <si>
    <t>Fire District 02</t>
  </si>
  <si>
    <t>Fire District 03</t>
  </si>
  <si>
    <t>Fire District 05</t>
  </si>
  <si>
    <t>Fire District 06</t>
  </si>
  <si>
    <t>Fire District 06 EMS</t>
  </si>
  <si>
    <t>East Co Fire &amp; Rescue</t>
  </si>
  <si>
    <t>East Co Fire &amp; Rescue EMS</t>
  </si>
  <si>
    <t>Fire District 10</t>
  </si>
  <si>
    <t>Clark Co Fire &amp; Rescue</t>
  </si>
  <si>
    <t>Fire District 12 Bond Fund</t>
  </si>
  <si>
    <t>Fire District 13</t>
  </si>
  <si>
    <t>EMS District 01</t>
  </si>
  <si>
    <t>Cemetery Districts</t>
  </si>
  <si>
    <t>Cemetery District 1</t>
  </si>
  <si>
    <t>Cemetery District 4</t>
  </si>
  <si>
    <t>Cemetery District 5</t>
  </si>
  <si>
    <t>Cemetery District 6</t>
  </si>
  <si>
    <t>Port Districts</t>
  </si>
  <si>
    <t>Camas-Washougal</t>
  </si>
  <si>
    <t>Camas-Washougal Bond</t>
  </si>
  <si>
    <t>Ridgefield</t>
  </si>
  <si>
    <t>Vancouver</t>
  </si>
  <si>
    <t>Vancouver Bond Fund</t>
  </si>
  <si>
    <t>AV for 2015 Taxes</t>
  </si>
  <si>
    <t>2015 Levy Rate</t>
  </si>
  <si>
    <t>Town of Yacolt GF</t>
  </si>
  <si>
    <t>Town of Yacolt EMS</t>
  </si>
  <si>
    <t>Town of Yacolt EMS Excess</t>
  </si>
  <si>
    <t>EMS District 01 Excess</t>
  </si>
  <si>
    <t>AV for 2013 Taxes</t>
  </si>
  <si>
    <t>2013 Levy Rate</t>
  </si>
  <si>
    <t>City of Yacolt GF</t>
  </si>
  <si>
    <t>City of Yacolt EMS</t>
  </si>
  <si>
    <t xml:space="preserve">                     -  </t>
  </si>
  <si>
    <t>AV for 2016 Taxes</t>
  </si>
  <si>
    <t>AV for 2017 Taxes</t>
  </si>
  <si>
    <t>2017 Levy Rate</t>
  </si>
  <si>
    <t>2016 Levy Rate</t>
  </si>
  <si>
    <t>Regular Voted</t>
  </si>
  <si>
    <t>-</t>
  </si>
  <si>
    <t>City of Vancouver AF</t>
  </si>
  <si>
    <t>New Levy</t>
  </si>
  <si>
    <t>Expired</t>
  </si>
  <si>
    <t>AV for 2018 Taxes</t>
  </si>
  <si>
    <t>2018 Levy Rate</t>
  </si>
  <si>
    <r>
      <rPr>
        <b/>
        <u/>
        <sz val="11"/>
        <color theme="1"/>
        <rFont val="Calibri"/>
        <family val="2"/>
        <scheme val="minor"/>
      </rPr>
      <t xml:space="preserve">Differences
</t>
    </r>
    <r>
      <rPr>
        <b/>
        <sz val="11"/>
        <color theme="1"/>
        <rFont val="Calibri"/>
        <family val="2"/>
        <scheme val="minor"/>
      </rPr>
      <t>Tax</t>
    </r>
  </si>
  <si>
    <t>State Schools - Original</t>
  </si>
  <si>
    <t>State Schools - Part 2</t>
  </si>
  <si>
    <t>City of Vancouver AH</t>
  </si>
  <si>
    <r>
      <rPr>
        <b/>
        <u/>
        <sz val="11"/>
        <color theme="1"/>
        <rFont val="Calibri"/>
        <family val="2"/>
        <scheme val="minor"/>
      </rPr>
      <t xml:space="preserve">Differences
</t>
    </r>
    <r>
      <rPr>
        <b/>
        <sz val="11"/>
        <color theme="1"/>
        <rFont val="Calibri"/>
        <family val="2"/>
        <scheme val="minor"/>
      </rPr>
      <t>AV</t>
    </r>
  </si>
  <si>
    <t>Town of Yacolt EMS - Excess</t>
  </si>
  <si>
    <t>EMS District 01 - Excess</t>
  </si>
  <si>
    <t>AV for 2019 Taxes</t>
  </si>
  <si>
    <t>2019 Levy Rate</t>
  </si>
  <si>
    <t>N/A Expired</t>
  </si>
  <si>
    <t>#037 Vancouver Enrichment</t>
  </si>
  <si>
    <t>#093 Mt Pleasant Enrichment</t>
  </si>
  <si>
    <t>#098 Hockinson Enrichment</t>
  </si>
  <si>
    <t>#101 LaCenter Enrichment</t>
  </si>
  <si>
    <t>#102 Woodland Enrichment</t>
  </si>
  <si>
    <t>#103 Green Mtn Enrichment</t>
  </si>
  <si>
    <t>#112 Washougal Enrichment</t>
  </si>
  <si>
    <t>#114 Evergreen Enrichment</t>
  </si>
  <si>
    <t>#117 Camas Enrichment</t>
  </si>
  <si>
    <t>#119 Battle Grnd Enrichment</t>
  </si>
  <si>
    <t>#122 Ridgefield Enrichment</t>
  </si>
  <si>
    <t>% Change</t>
  </si>
  <si>
    <t>#114 Evergreen Technology</t>
  </si>
  <si>
    <t>Vancouver Bond</t>
  </si>
  <si>
    <t>AV for 2020 Taxes</t>
  </si>
  <si>
    <t>2020 Levy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</si>
</sst>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_);[Red]\(0.0000000000\)"/>
    <numFmt numFmtId="166" formatCode="_(* #,##0_);_(* \(#,##0\);_(* &quot;-&quot;??_);_(@_)"/>
    <numFmt numFmtId="167" formatCode="0.00_);[Red]\(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2" borderId="1" xfId="1" applyFont="1" applyFill="1" applyBorder="1" applyAlignment="1">
      <alignment wrapText="1"/>
    </xf>
    <xf numFmtId="0" fontId="2" fillId="2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wrapText="1"/>
    </xf>
    <xf numFmtId="3" fontId="2" fillId="3" borderId="2" xfId="1" applyNumberFormat="1" applyFont="1" applyFill="1" applyBorder="1" applyAlignment="1">
      <alignment horizontal="center" wrapText="1"/>
    </xf>
    <xf numFmtId="0" fontId="2" fillId="3" borderId="2" xfId="1" quotePrefix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3" fontId="2" fillId="4" borderId="2" xfId="1" applyNumberFormat="1" applyFont="1" applyFill="1" applyBorder="1" applyAlignment="1">
      <alignment horizontal="center" wrapText="1"/>
    </xf>
    <xf numFmtId="0" fontId="2" fillId="4" borderId="2" xfId="1" quotePrefix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0" borderId="4" xfId="1" applyBorder="1"/>
    <xf numFmtId="3" fontId="1" fillId="5" borderId="4" xfId="1" applyNumberFormat="1" applyFill="1" applyBorder="1"/>
    <xf numFmtId="0" fontId="1" fillId="5" borderId="4" xfId="1" quotePrefix="1" applyFill="1" applyBorder="1" applyAlignment="1">
      <alignment horizontal="center" wrapText="1"/>
    </xf>
    <xf numFmtId="0" fontId="1" fillId="5" borderId="4" xfId="1" applyFill="1" applyBorder="1" applyAlignment="1">
      <alignment horizontal="center"/>
    </xf>
    <xf numFmtId="0" fontId="1" fillId="5" borderId="4" xfId="1" applyFill="1" applyBorder="1" applyAlignment="1">
      <alignment horizontal="center" wrapText="1"/>
    </xf>
    <xf numFmtId="164" fontId="1" fillId="5" borderId="4" xfId="1" applyNumberFormat="1" applyFill="1" applyBorder="1"/>
    <xf numFmtId="0" fontId="1" fillId="5" borderId="4" xfId="1" quotePrefix="1" applyFill="1" applyBorder="1" applyAlignment="1">
      <alignment horizontal="center"/>
    </xf>
    <xf numFmtId="44" fontId="1" fillId="5" borderId="4" xfId="1" applyNumberFormat="1" applyFill="1" applyBorder="1"/>
    <xf numFmtId="3" fontId="1" fillId="6" borderId="4" xfId="1" applyNumberFormat="1" applyFill="1" applyBorder="1"/>
    <xf numFmtId="0" fontId="1" fillId="6" borderId="4" xfId="1" quotePrefix="1" applyFill="1" applyBorder="1" applyAlignment="1">
      <alignment horizontal="center"/>
    </xf>
    <xf numFmtId="0" fontId="1" fillId="6" borderId="4" xfId="1" applyFill="1" applyBorder="1" applyAlignment="1">
      <alignment horizontal="center"/>
    </xf>
    <xf numFmtId="164" fontId="1" fillId="6" borderId="4" xfId="1" applyNumberFormat="1" applyFill="1" applyBorder="1"/>
    <xf numFmtId="44" fontId="1" fillId="6" borderId="4" xfId="1" applyNumberFormat="1" applyFill="1" applyBorder="1"/>
    <xf numFmtId="38" fontId="1" fillId="0" borderId="4" xfId="1" applyNumberFormat="1" applyBorder="1"/>
    <xf numFmtId="165" fontId="1" fillId="0" borderId="4" xfId="1" applyNumberFormat="1" applyBorder="1"/>
    <xf numFmtId="44" fontId="1" fillId="0" borderId="4" xfId="1" applyNumberFormat="1" applyBorder="1"/>
    <xf numFmtId="0" fontId="1" fillId="0" borderId="0" xfId="1"/>
    <xf numFmtId="0" fontId="1" fillId="7" borderId="5" xfId="1" applyFill="1" applyBorder="1"/>
    <xf numFmtId="3" fontId="1" fillId="8" borderId="5" xfId="1" applyNumberFormat="1" applyFill="1" applyBorder="1"/>
    <xf numFmtId="0" fontId="1" fillId="8" borderId="5" xfId="1" quotePrefix="1" applyFill="1" applyBorder="1" applyAlignment="1">
      <alignment horizontal="center" wrapText="1"/>
    </xf>
    <xf numFmtId="0" fontId="1" fillId="8" borderId="5" xfId="1" applyFill="1" applyBorder="1" applyAlignment="1">
      <alignment horizontal="center"/>
    </xf>
    <xf numFmtId="0" fontId="1" fillId="8" borderId="5" xfId="1" applyFill="1" applyBorder="1" applyAlignment="1">
      <alignment horizontal="center" wrapText="1"/>
    </xf>
    <xf numFmtId="164" fontId="1" fillId="8" borderId="5" xfId="1" applyNumberFormat="1" applyFill="1" applyBorder="1"/>
    <xf numFmtId="0" fontId="1" fillId="8" borderId="5" xfId="1" quotePrefix="1" applyFill="1" applyBorder="1" applyAlignment="1">
      <alignment horizontal="center"/>
    </xf>
    <xf numFmtId="44" fontId="1" fillId="8" borderId="5" xfId="1" applyNumberFormat="1" applyFill="1" applyBorder="1"/>
    <xf numFmtId="3" fontId="1" fillId="9" borderId="5" xfId="1" applyNumberFormat="1" applyFill="1" applyBorder="1"/>
    <xf numFmtId="0" fontId="1" fillId="9" borderId="5" xfId="1" quotePrefix="1" applyFill="1" applyBorder="1" applyAlignment="1">
      <alignment horizontal="center"/>
    </xf>
    <xf numFmtId="0" fontId="1" fillId="9" borderId="5" xfId="1" applyFill="1" applyBorder="1" applyAlignment="1">
      <alignment horizontal="center"/>
    </xf>
    <xf numFmtId="164" fontId="1" fillId="9" borderId="5" xfId="1" applyNumberFormat="1" applyFill="1" applyBorder="1"/>
    <xf numFmtId="44" fontId="1" fillId="9" borderId="5" xfId="1" applyNumberFormat="1" applyFill="1" applyBorder="1"/>
    <xf numFmtId="38" fontId="1" fillId="7" borderId="5" xfId="1" applyNumberFormat="1" applyFill="1" applyBorder="1"/>
    <xf numFmtId="165" fontId="1" fillId="7" borderId="5" xfId="1" applyNumberFormat="1" applyFill="1" applyBorder="1"/>
    <xf numFmtId="44" fontId="1" fillId="7" borderId="5" xfId="1" applyNumberFormat="1" applyFill="1" applyBorder="1"/>
    <xf numFmtId="0" fontId="1" fillId="0" borderId="5" xfId="1" applyBorder="1"/>
    <xf numFmtId="3" fontId="1" fillId="5" borderId="5" xfId="1" applyNumberFormat="1" applyFill="1" applyBorder="1"/>
    <xf numFmtId="0" fontId="1" fillId="5" borderId="5" xfId="1" quotePrefix="1" applyFill="1" applyBorder="1" applyAlignment="1">
      <alignment horizontal="center" wrapText="1"/>
    </xf>
    <xf numFmtId="0" fontId="1" fillId="5" borderId="5" xfId="1" applyFill="1" applyBorder="1" applyAlignment="1">
      <alignment horizontal="center"/>
    </xf>
    <xf numFmtId="0" fontId="1" fillId="5" borderId="5" xfId="1" applyFill="1" applyBorder="1" applyAlignment="1">
      <alignment horizontal="center" wrapText="1"/>
    </xf>
    <xf numFmtId="164" fontId="1" fillId="5" borderId="5" xfId="1" applyNumberFormat="1" applyFill="1" applyBorder="1"/>
    <xf numFmtId="0" fontId="1" fillId="5" borderId="5" xfId="1" quotePrefix="1" applyFill="1" applyBorder="1" applyAlignment="1">
      <alignment horizontal="center"/>
    </xf>
    <xf numFmtId="44" fontId="1" fillId="5" borderId="5" xfId="1" applyNumberFormat="1" applyFill="1" applyBorder="1"/>
    <xf numFmtId="3" fontId="1" fillId="6" borderId="5" xfId="1" applyNumberFormat="1" applyFill="1" applyBorder="1"/>
    <xf numFmtId="0" fontId="1" fillId="6" borderId="5" xfId="1" quotePrefix="1" applyFill="1" applyBorder="1" applyAlignment="1">
      <alignment horizontal="center"/>
    </xf>
    <xf numFmtId="0" fontId="1" fillId="6" borderId="5" xfId="1" applyFill="1" applyBorder="1" applyAlignment="1">
      <alignment horizontal="center"/>
    </xf>
    <xf numFmtId="164" fontId="1" fillId="6" borderId="5" xfId="1" applyNumberFormat="1" applyFill="1" applyBorder="1"/>
    <xf numFmtId="44" fontId="1" fillId="6" borderId="5" xfId="1" applyNumberFormat="1" applyFill="1" applyBorder="1"/>
    <xf numFmtId="38" fontId="1" fillId="0" borderId="5" xfId="1" applyNumberFormat="1" applyBorder="1"/>
    <xf numFmtId="165" fontId="1" fillId="0" borderId="5" xfId="1" applyNumberFormat="1" applyBorder="1"/>
    <xf numFmtId="44" fontId="1" fillId="0" borderId="5" xfId="1" applyNumberFormat="1" applyBorder="1"/>
    <xf numFmtId="0" fontId="1" fillId="7" borderId="6" xfId="1" applyFill="1" applyBorder="1"/>
    <xf numFmtId="3" fontId="1" fillId="8" borderId="6" xfId="1" applyNumberFormat="1" applyFill="1" applyBorder="1"/>
    <xf numFmtId="0" fontId="1" fillId="8" borderId="6" xfId="1" quotePrefix="1" applyFill="1" applyBorder="1" applyAlignment="1">
      <alignment horizontal="center" wrapText="1"/>
    </xf>
    <xf numFmtId="0" fontId="1" fillId="8" borderId="6" xfId="1" applyFill="1" applyBorder="1" applyAlignment="1">
      <alignment horizontal="center"/>
    </xf>
    <xf numFmtId="0" fontId="1" fillId="8" borderId="6" xfId="1" applyFill="1" applyBorder="1" applyAlignment="1">
      <alignment horizontal="center" wrapText="1"/>
    </xf>
    <xf numFmtId="164" fontId="1" fillId="8" borderId="6" xfId="1" applyNumberFormat="1" applyFill="1" applyBorder="1"/>
    <xf numFmtId="0" fontId="1" fillId="8" borderId="6" xfId="1" quotePrefix="1" applyFill="1" applyBorder="1" applyAlignment="1">
      <alignment horizontal="center"/>
    </xf>
    <xf numFmtId="44" fontId="1" fillId="8" borderId="6" xfId="1" applyNumberFormat="1" applyFill="1" applyBorder="1"/>
    <xf numFmtId="3" fontId="1" fillId="9" borderId="6" xfId="1" applyNumberFormat="1" applyFill="1" applyBorder="1"/>
    <xf numFmtId="0" fontId="1" fillId="9" borderId="6" xfId="1" quotePrefix="1" applyFill="1" applyBorder="1" applyAlignment="1">
      <alignment horizontal="center"/>
    </xf>
    <xf numFmtId="0" fontId="1" fillId="9" borderId="6" xfId="1" applyFill="1" applyBorder="1" applyAlignment="1">
      <alignment horizontal="center"/>
    </xf>
    <xf numFmtId="164" fontId="1" fillId="9" borderId="6" xfId="1" applyNumberFormat="1" applyFill="1" applyBorder="1"/>
    <xf numFmtId="44" fontId="1" fillId="9" borderId="6" xfId="1" applyNumberFormat="1" applyFill="1" applyBorder="1"/>
    <xf numFmtId="38" fontId="1" fillId="7" borderId="6" xfId="1" applyNumberFormat="1" applyFill="1" applyBorder="1"/>
    <xf numFmtId="165" fontId="1" fillId="7" borderId="6" xfId="1" applyNumberFormat="1" applyFill="1" applyBorder="1"/>
    <xf numFmtId="44" fontId="1" fillId="7" borderId="6" xfId="1" applyNumberFormat="1" applyFill="1" applyBorder="1"/>
    <xf numFmtId="0" fontId="1" fillId="7" borderId="6" xfId="1" applyFill="1" applyBorder="1" applyAlignment="1">
      <alignment wrapText="1"/>
    </xf>
    <xf numFmtId="0" fontId="2" fillId="2" borderId="7" xfId="1" applyFont="1" applyFill="1" applyBorder="1"/>
    <xf numFmtId="0" fontId="1" fillId="2" borderId="8" xfId="1" applyFill="1" applyBorder="1"/>
    <xf numFmtId="3" fontId="1" fillId="2" borderId="8" xfId="1" applyNumberFormat="1" applyFill="1" applyBorder="1"/>
    <xf numFmtId="0" fontId="1" fillId="2" borderId="8" xfId="1" quotePrefix="1" applyFill="1" applyBorder="1" applyAlignment="1">
      <alignment horizontal="center" wrapText="1"/>
    </xf>
    <xf numFmtId="0" fontId="1" fillId="2" borderId="8" xfId="1" applyFill="1" applyBorder="1" applyAlignment="1">
      <alignment horizontal="center"/>
    </xf>
    <xf numFmtId="0" fontId="1" fillId="2" borderId="8" xfId="1" applyFill="1" applyBorder="1" applyAlignment="1">
      <alignment horizontal="center" wrapText="1"/>
    </xf>
    <xf numFmtId="164" fontId="1" fillId="2" borderId="8" xfId="1" applyNumberFormat="1" applyFill="1" applyBorder="1"/>
    <xf numFmtId="0" fontId="1" fillId="2" borderId="8" xfId="1" quotePrefix="1" applyFill="1" applyBorder="1" applyAlignment="1">
      <alignment horizontal="center"/>
    </xf>
    <xf numFmtId="44" fontId="1" fillId="2" borderId="8" xfId="1" applyNumberFormat="1" applyFill="1" applyBorder="1"/>
    <xf numFmtId="44" fontId="1" fillId="2" borderId="9" xfId="1" applyNumberFormat="1" applyFill="1" applyBorder="1"/>
    <xf numFmtId="0" fontId="1" fillId="7" borderId="5" xfId="1" applyFill="1" applyBorder="1" applyAlignment="1">
      <alignment wrapText="1"/>
    </xf>
    <xf numFmtId="0" fontId="1" fillId="0" borderId="10" xfId="1" applyBorder="1"/>
    <xf numFmtId="3" fontId="1" fillId="5" borderId="10" xfId="1" applyNumberFormat="1" applyFill="1" applyBorder="1"/>
    <xf numFmtId="0" fontId="1" fillId="5" borderId="10" xfId="1" quotePrefix="1" applyFill="1" applyBorder="1" applyAlignment="1">
      <alignment horizontal="center" wrapText="1"/>
    </xf>
    <xf numFmtId="0" fontId="1" fillId="5" borderId="10" xfId="1" applyFill="1" applyBorder="1" applyAlignment="1">
      <alignment horizontal="center"/>
    </xf>
    <xf numFmtId="0" fontId="1" fillId="5" borderId="10" xfId="1" applyFill="1" applyBorder="1" applyAlignment="1">
      <alignment horizontal="center" wrapText="1"/>
    </xf>
    <xf numFmtId="164" fontId="1" fillId="5" borderId="10" xfId="1" applyNumberFormat="1" applyFill="1" applyBorder="1"/>
    <xf numFmtId="0" fontId="1" fillId="5" borderId="10" xfId="1" quotePrefix="1" applyFill="1" applyBorder="1" applyAlignment="1">
      <alignment horizontal="center"/>
    </xf>
    <xf numFmtId="44" fontId="1" fillId="5" borderId="10" xfId="1" applyNumberFormat="1" applyFill="1" applyBorder="1"/>
    <xf numFmtId="3" fontId="1" fillId="6" borderId="10" xfId="1" applyNumberFormat="1" applyFill="1" applyBorder="1"/>
    <xf numFmtId="0" fontId="1" fillId="6" borderId="10" xfId="1" applyFill="1" applyBorder="1" applyAlignment="1">
      <alignment horizontal="center"/>
    </xf>
    <xf numFmtId="0" fontId="1" fillId="6" borderId="10" xfId="1" applyFill="1" applyBorder="1"/>
    <xf numFmtId="0" fontId="1" fillId="6" borderId="10" xfId="1" quotePrefix="1" applyFill="1" applyBorder="1" applyAlignment="1">
      <alignment horizontal="center"/>
    </xf>
    <xf numFmtId="44" fontId="1" fillId="6" borderId="10" xfId="1" applyNumberFormat="1" applyFill="1" applyBorder="1"/>
    <xf numFmtId="38" fontId="1" fillId="0" borderId="10" xfId="1" applyNumberFormat="1" applyBorder="1"/>
    <xf numFmtId="165" fontId="1" fillId="0" borderId="10" xfId="1" applyNumberFormat="1" applyBorder="1"/>
    <xf numFmtId="44" fontId="1" fillId="0" borderId="10" xfId="1" applyNumberFormat="1" applyBorder="1"/>
    <xf numFmtId="0" fontId="1" fillId="9" borderId="5" xfId="1" applyFill="1" applyBorder="1"/>
    <xf numFmtId="0" fontId="1" fillId="6" borderId="5" xfId="1" applyFill="1" applyBorder="1"/>
    <xf numFmtId="0" fontId="1" fillId="0" borderId="11" xfId="1" applyBorder="1"/>
    <xf numFmtId="0" fontId="1" fillId="5" borderId="11" xfId="1" quotePrefix="1" applyFill="1" applyBorder="1" applyAlignment="1">
      <alignment horizontal="center" wrapText="1"/>
    </xf>
    <xf numFmtId="0" fontId="1" fillId="5" borderId="11" xfId="1" applyFill="1" applyBorder="1" applyAlignment="1">
      <alignment horizontal="center"/>
    </xf>
    <xf numFmtId="0" fontId="1" fillId="5" borderId="11" xfId="1" applyFill="1" applyBorder="1" applyAlignment="1">
      <alignment horizontal="center" wrapText="1"/>
    </xf>
    <xf numFmtId="0" fontId="1" fillId="6" borderId="4" xfId="1" applyFill="1" applyBorder="1"/>
    <xf numFmtId="3" fontId="1" fillId="0" borderId="0" xfId="1" applyNumberFormat="1"/>
    <xf numFmtId="0" fontId="1" fillId="0" borderId="0" xfId="1" applyAlignment="1">
      <alignment horizontal="center"/>
    </xf>
    <xf numFmtId="164" fontId="1" fillId="0" borderId="0" xfId="1" applyNumberFormat="1"/>
    <xf numFmtId="44" fontId="1" fillId="0" borderId="0" xfId="1" applyNumberFormat="1"/>
    <xf numFmtId="38" fontId="1" fillId="0" borderId="0" xfId="1" applyNumberFormat="1"/>
    <xf numFmtId="165" fontId="1" fillId="0" borderId="0" xfId="1" applyNumberFormat="1"/>
    <xf numFmtId="0" fontId="0" fillId="7" borderId="5" xfId="1" applyFont="1" applyFill="1" applyBorder="1"/>
    <xf numFmtId="44" fontId="0" fillId="8" borderId="5" xfId="1" applyNumberFormat="1" applyFont="1" applyFill="1" applyBorder="1"/>
    <xf numFmtId="38" fontId="0" fillId="7" borderId="5" xfId="1" applyNumberFormat="1" applyFont="1" applyFill="1" applyBorder="1"/>
    <xf numFmtId="165" fontId="0" fillId="7" borderId="5" xfId="1" applyNumberFormat="1" applyFont="1" applyFill="1" applyBorder="1"/>
    <xf numFmtId="44" fontId="0" fillId="7" borderId="5" xfId="1" applyNumberFormat="1" applyFont="1" applyFill="1" applyBorder="1"/>
    <xf numFmtId="3" fontId="0" fillId="8" borderId="5" xfId="1" applyNumberFormat="1" applyFont="1" applyFill="1" applyBorder="1"/>
    <xf numFmtId="164" fontId="0" fillId="8" borderId="5" xfId="1" applyNumberFormat="1" applyFont="1" applyFill="1" applyBorder="1"/>
    <xf numFmtId="164" fontId="0" fillId="5" borderId="5" xfId="1" applyNumberFormat="1" applyFont="1" applyFill="1" applyBorder="1"/>
    <xf numFmtId="0" fontId="0" fillId="0" borderId="4" xfId="1" applyFont="1" applyBorder="1"/>
    <xf numFmtId="43" fontId="0" fillId="6" borderId="5" xfId="18" applyFont="1" applyFill="1" applyBorder="1" applyAlignment="1">
      <alignment horizontal="center"/>
    </xf>
    <xf numFmtId="166" fontId="1" fillId="9" borderId="5" xfId="18" applyNumberFormat="1" applyFill="1" applyBorder="1"/>
    <xf numFmtId="166" fontId="0" fillId="6" borderId="5" xfId="18" applyNumberFormat="1" applyFont="1" applyFill="1" applyBorder="1" applyAlignment="1">
      <alignment horizontal="center"/>
    </xf>
    <xf numFmtId="4" fontId="1" fillId="0" borderId="0" xfId="1" applyNumberFormat="1"/>
    <xf numFmtId="44" fontId="1" fillId="0" borderId="5" xfId="1" applyNumberFormat="1" applyFill="1" applyBorder="1"/>
    <xf numFmtId="0" fontId="0" fillId="8" borderId="5" xfId="1" quotePrefix="1" applyFont="1" applyFill="1" applyBorder="1" applyAlignment="1">
      <alignment horizontal="center" wrapText="1"/>
    </xf>
    <xf numFmtId="3" fontId="6" fillId="5" borderId="5" xfId="1" applyNumberFormat="1" applyFont="1" applyFill="1" applyBorder="1"/>
    <xf numFmtId="0" fontId="6" fillId="5" borderId="5" xfId="1" quotePrefix="1" applyFont="1" applyFill="1" applyBorder="1" applyAlignment="1">
      <alignment horizontal="center" wrapText="1"/>
    </xf>
    <xf numFmtId="0" fontId="6" fillId="5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 wrapText="1"/>
    </xf>
    <xf numFmtId="164" fontId="6" fillId="5" borderId="5" xfId="1" applyNumberFormat="1" applyFont="1" applyFill="1" applyBorder="1"/>
    <xf numFmtId="0" fontId="6" fillId="5" borderId="5" xfId="1" quotePrefix="1" applyFont="1" applyFill="1" applyBorder="1" applyAlignment="1">
      <alignment horizontal="center"/>
    </xf>
    <xf numFmtId="44" fontId="6" fillId="5" borderId="5" xfId="1" applyNumberFormat="1" applyFont="1" applyFill="1" applyBorder="1"/>
    <xf numFmtId="0" fontId="7" fillId="7" borderId="5" xfId="1" applyFont="1" applyFill="1" applyBorder="1"/>
    <xf numFmtId="3" fontId="6" fillId="8" borderId="5" xfId="1" applyNumberFormat="1" applyFont="1" applyFill="1" applyBorder="1"/>
    <xf numFmtId="3" fontId="6" fillId="2" borderId="8" xfId="1" applyNumberFormat="1" applyFont="1" applyFill="1" applyBorder="1"/>
    <xf numFmtId="3" fontId="10" fillId="8" borderId="5" xfId="1" applyNumberFormat="1" applyFont="1" applyFill="1" applyBorder="1"/>
    <xf numFmtId="3" fontId="10" fillId="5" borderId="5" xfId="1" applyNumberFormat="1" applyFont="1" applyFill="1" applyBorder="1"/>
    <xf numFmtId="0" fontId="10" fillId="8" borderId="5" xfId="1" quotePrefix="1" applyFont="1" applyFill="1" applyBorder="1" applyAlignment="1">
      <alignment horizontal="center" wrapText="1"/>
    </xf>
    <xf numFmtId="0" fontId="10" fillId="8" borderId="5" xfId="1" applyFont="1" applyFill="1" applyBorder="1" applyAlignment="1">
      <alignment horizontal="center"/>
    </xf>
    <xf numFmtId="0" fontId="10" fillId="5" borderId="5" xfId="1" quotePrefix="1" applyFont="1" applyFill="1" applyBorder="1" applyAlignment="1">
      <alignment horizontal="center" wrapText="1"/>
    </xf>
    <xf numFmtId="0" fontId="10" fillId="5" borderId="5" xfId="1" applyFont="1" applyFill="1" applyBorder="1" applyAlignment="1">
      <alignment horizontal="center"/>
    </xf>
    <xf numFmtId="0" fontId="10" fillId="2" borderId="8" xfId="1" quotePrefix="1" applyFont="1" applyFill="1" applyBorder="1" applyAlignment="1">
      <alignment horizontal="center" wrapText="1"/>
    </xf>
    <xf numFmtId="0" fontId="10" fillId="2" borderId="8" xfId="1" applyFont="1" applyFill="1" applyBorder="1" applyAlignment="1">
      <alignment horizontal="center"/>
    </xf>
    <xf numFmtId="0" fontId="11" fillId="3" borderId="2" xfId="1" applyFont="1" applyFill="1" applyBorder="1" applyAlignment="1">
      <alignment wrapText="1"/>
    </xf>
    <xf numFmtId="0" fontId="10" fillId="8" borderId="5" xfId="1" applyFont="1" applyFill="1" applyBorder="1" applyAlignment="1">
      <alignment horizontal="center" wrapText="1"/>
    </xf>
    <xf numFmtId="0" fontId="10" fillId="5" borderId="5" xfId="1" applyFont="1" applyFill="1" applyBorder="1" applyAlignment="1">
      <alignment horizontal="center" wrapText="1"/>
    </xf>
    <xf numFmtId="0" fontId="10" fillId="2" borderId="8" xfId="1" applyFont="1" applyFill="1" applyBorder="1" applyAlignment="1">
      <alignment horizontal="center" wrapText="1"/>
    </xf>
    <xf numFmtId="0" fontId="10" fillId="0" borderId="0" xfId="1" applyFont="1" applyAlignment="1">
      <alignment horizontal="center"/>
    </xf>
    <xf numFmtId="0" fontId="11" fillId="3" borderId="2" xfId="1" quotePrefix="1" applyFont="1" applyFill="1" applyBorder="1" applyAlignment="1">
      <alignment horizontal="center" wrapText="1"/>
    </xf>
    <xf numFmtId="0" fontId="10" fillId="8" borderId="5" xfId="1" quotePrefix="1" applyFont="1" applyFill="1" applyBorder="1" applyAlignment="1">
      <alignment horizontal="center"/>
    </xf>
    <xf numFmtId="0" fontId="10" fillId="5" borderId="5" xfId="1" quotePrefix="1" applyFont="1" applyFill="1" applyBorder="1" applyAlignment="1">
      <alignment horizontal="center"/>
    </xf>
    <xf numFmtId="0" fontId="10" fillId="2" borderId="8" xfId="1" quotePrefix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 wrapText="1"/>
    </xf>
    <xf numFmtId="44" fontId="10" fillId="8" borderId="5" xfId="1" applyNumberFormat="1" applyFont="1" applyFill="1" applyBorder="1"/>
    <xf numFmtId="44" fontId="10" fillId="5" borderId="5" xfId="1" applyNumberFormat="1" applyFont="1" applyFill="1" applyBorder="1"/>
    <xf numFmtId="44" fontId="10" fillId="2" borderId="8" xfId="1" applyNumberFormat="1" applyFont="1" applyFill="1" applyBorder="1"/>
    <xf numFmtId="44" fontId="10" fillId="0" borderId="0" xfId="1" applyNumberFormat="1" applyFont="1"/>
    <xf numFmtId="0" fontId="10" fillId="0" borderId="0" xfId="1" applyFont="1"/>
    <xf numFmtId="3" fontId="11" fillId="8" borderId="5" xfId="1" applyNumberFormat="1" applyFont="1" applyFill="1" applyBorder="1" applyAlignment="1">
      <alignment horizontal="right"/>
    </xf>
    <xf numFmtId="38" fontId="2" fillId="7" borderId="5" xfId="1" applyNumberFormat="1" applyFont="1" applyFill="1" applyBorder="1" applyAlignment="1">
      <alignment horizontal="right"/>
    </xf>
    <xf numFmtId="4" fontId="2" fillId="3" borderId="2" xfId="1" applyNumberFormat="1" applyFont="1" applyFill="1" applyBorder="1" applyAlignment="1">
      <alignment horizontal="center" wrapText="1"/>
    </xf>
    <xf numFmtId="4" fontId="2" fillId="4" borderId="2" xfId="1" applyNumberFormat="1" applyFont="1" applyFill="1" applyBorder="1" applyAlignment="1">
      <alignment horizontal="center" wrapText="1"/>
    </xf>
    <xf numFmtId="4" fontId="0" fillId="6" borderId="5" xfId="18" applyNumberFormat="1" applyFont="1" applyFill="1" applyBorder="1" applyAlignment="1">
      <alignment horizontal="center"/>
    </xf>
    <xf numFmtId="167" fontId="1" fillId="7" borderId="5" xfId="1" applyNumberFormat="1" applyFill="1" applyBorder="1"/>
    <xf numFmtId="167" fontId="1" fillId="0" borderId="5" xfId="1" applyNumberFormat="1" applyBorder="1"/>
    <xf numFmtId="167" fontId="1" fillId="2" borderId="8" xfId="1" applyNumberFormat="1" applyFill="1" applyBorder="1"/>
    <xf numFmtId="4" fontId="10" fillId="8" borderId="5" xfId="1" applyNumberFormat="1" applyFont="1" applyFill="1" applyBorder="1" applyAlignment="1">
      <alignment horizontal="center"/>
    </xf>
    <xf numFmtId="4" fontId="10" fillId="5" borderId="5" xfId="1" applyNumberFormat="1" applyFont="1" applyFill="1" applyBorder="1" applyAlignment="1">
      <alignment horizontal="center"/>
    </xf>
    <xf numFmtId="4" fontId="6" fillId="2" borderId="8" xfId="1" applyNumberFormat="1" applyFont="1" applyFill="1" applyBorder="1" applyAlignment="1">
      <alignment horizontal="center"/>
    </xf>
    <xf numFmtId="4" fontId="6" fillId="8" borderId="5" xfId="1" applyNumberFormat="1" applyFont="1" applyFill="1" applyBorder="1" applyAlignment="1">
      <alignment horizontal="center"/>
    </xf>
    <xf numFmtId="4" fontId="1" fillId="0" borderId="0" xfId="1" applyNumberFormat="1" applyAlignment="1">
      <alignment horizontal="center"/>
    </xf>
    <xf numFmtId="4" fontId="1" fillId="9" borderId="5" xfId="1" applyNumberFormat="1" applyFill="1" applyBorder="1" applyAlignment="1">
      <alignment horizontal="center"/>
    </xf>
    <xf numFmtId="4" fontId="1" fillId="6" borderId="5" xfId="1" applyNumberFormat="1" applyFill="1" applyBorder="1" applyAlignment="1">
      <alignment horizontal="center"/>
    </xf>
    <xf numFmtId="4" fontId="1" fillId="2" borderId="8" xfId="1" applyNumberFormat="1" applyFill="1" applyBorder="1" applyAlignment="1">
      <alignment horizontal="center"/>
    </xf>
    <xf numFmtId="4" fontId="1" fillId="6" borderId="10" xfId="1" applyNumberFormat="1" applyFill="1" applyBorder="1" applyAlignment="1">
      <alignment horizontal="center"/>
    </xf>
    <xf numFmtId="4" fontId="1" fillId="6" borderId="4" xfId="1" applyNumberFormat="1" applyFill="1" applyBorder="1" applyAlignment="1">
      <alignment horizontal="center"/>
    </xf>
    <xf numFmtId="9" fontId="3" fillId="2" borderId="2" xfId="19" applyFont="1" applyFill="1" applyBorder="1" applyAlignment="1">
      <alignment horizontal="center" wrapText="1"/>
    </xf>
    <xf numFmtId="9" fontId="1" fillId="7" borderId="5" xfId="19" applyFill="1" applyBorder="1" applyAlignment="1">
      <alignment horizontal="center"/>
    </xf>
    <xf numFmtId="9" fontId="1" fillId="0" borderId="5" xfId="19" applyBorder="1" applyAlignment="1">
      <alignment horizontal="center"/>
    </xf>
    <xf numFmtId="9" fontId="1" fillId="2" borderId="8" xfId="19" applyFill="1" applyBorder="1" applyAlignment="1">
      <alignment horizontal="center"/>
    </xf>
    <xf numFmtId="9" fontId="0" fillId="10" borderId="5" xfId="19" applyFont="1" applyFill="1" applyBorder="1" applyAlignment="1">
      <alignment horizontal="center"/>
    </xf>
    <xf numFmtId="9" fontId="1" fillId="0" borderId="0" xfId="19" applyAlignment="1">
      <alignment horizontal="center"/>
    </xf>
    <xf numFmtId="38" fontId="1" fillId="11" borderId="5" xfId="1" applyNumberFormat="1" applyFill="1" applyBorder="1"/>
    <xf numFmtId="167" fontId="1" fillId="11" borderId="5" xfId="1" applyNumberFormat="1" applyFill="1" applyBorder="1"/>
    <xf numFmtId="9" fontId="1" fillId="11" borderId="5" xfId="19" applyFill="1" applyBorder="1" applyAlignment="1">
      <alignment horizontal="center"/>
    </xf>
    <xf numFmtId="38" fontId="1" fillId="12" borderId="5" xfId="1" applyNumberFormat="1" applyFill="1" applyBorder="1"/>
    <xf numFmtId="167" fontId="1" fillId="12" borderId="5" xfId="1" applyNumberFormat="1" applyFill="1" applyBorder="1"/>
    <xf numFmtId="9" fontId="1" fillId="12" borderId="5" xfId="19" applyFill="1" applyBorder="1" applyAlignment="1">
      <alignment horizontal="center"/>
    </xf>
    <xf numFmtId="0" fontId="0" fillId="0" borderId="5" xfId="1" applyFont="1" applyBorder="1"/>
    <xf numFmtId="9" fontId="1" fillId="10" borderId="5" xfId="19" applyFill="1" applyBorder="1" applyAlignment="1">
      <alignment horizontal="center"/>
    </xf>
  </cellXfs>
  <cellStyles count="20">
    <cellStyle name="Comma" xfId="18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urrency 2" xfId="5" xr:uid="{00000000-0005-0000-0000-000004000000}"/>
    <cellStyle name="Currency 2 2" xfId="6" xr:uid="{00000000-0005-0000-0000-000005000000}"/>
    <cellStyle name="Currency 3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Normal 3 2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00000000-0005-0000-0000-000010000000}"/>
    <cellStyle name="Normal 8" xfId="1" xr:uid="{00000000-0005-0000-0000-000011000000}"/>
    <cellStyle name="Normal 9" xfId="17" xr:uid="{00000000-0005-0000-0000-000012000000}"/>
    <cellStyle name="Percent" xfId="1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B995-9E02-494A-B31D-E94B1A93ADBF}">
  <sheetPr>
    <pageSetUpPr fitToPage="1"/>
  </sheetPr>
  <dimension ref="A1:W94"/>
  <sheetViews>
    <sheetView tabSelected="1" zoomScale="85" zoomScaleNormal="85" workbookViewId="0">
      <selection activeCell="H1" sqref="H1"/>
    </sheetView>
  </sheetViews>
  <sheetFormatPr defaultRowHeight="15" x14ac:dyDescent="0.25"/>
  <cols>
    <col min="1" max="1" width="29.140625" style="28" customWidth="1"/>
    <col min="2" max="2" width="7.7109375" style="28" bestFit="1" customWidth="1"/>
    <col min="3" max="3" width="20" style="28" bestFit="1" customWidth="1"/>
    <col min="4" max="4" width="3.7109375" style="113" customWidth="1"/>
    <col min="5" max="5" width="9.140625" style="28"/>
    <col min="6" max="6" width="3.7109375" style="155" customWidth="1"/>
    <col min="7" max="7" width="12.5703125" style="178" bestFit="1" customWidth="1"/>
    <col min="8" max="8" width="3.7109375" style="155" customWidth="1"/>
    <col min="9" max="9" width="16.5703125" style="165" customWidth="1"/>
    <col min="10" max="10" width="17.7109375" style="28" customWidth="1"/>
    <col min="11" max="11" width="3.7109375" style="113" customWidth="1"/>
    <col min="12" max="12" width="9.140625" style="28"/>
    <col min="13" max="13" width="3.7109375" style="113" customWidth="1"/>
    <col min="14" max="14" width="12.5703125" style="178" customWidth="1"/>
    <col min="15" max="15" width="3.7109375" style="113" customWidth="1"/>
    <col min="16" max="16" width="16.28515625" style="28" bestFit="1" customWidth="1"/>
    <col min="17" max="17" width="16.42578125" style="28" customWidth="1"/>
    <col min="18" max="18" width="15.28515625" style="28" bestFit="1" customWidth="1"/>
    <col min="19" max="19" width="14.28515625" style="28" customWidth="1"/>
    <col min="20" max="20" width="12.28515625" style="189" customWidth="1"/>
    <col min="21" max="21" width="9.140625" style="28"/>
    <col min="22" max="22" width="16.28515625" style="28" bestFit="1" customWidth="1"/>
    <col min="23" max="23" width="12.7109375" style="28" bestFit="1" customWidth="1"/>
    <col min="24" max="16384" width="9.140625" style="28"/>
  </cols>
  <sheetData>
    <row r="1" spans="1:23" s="11" customFormat="1" ht="30.75" thickBot="1" x14ac:dyDescent="0.3">
      <c r="A1" s="1" t="s">
        <v>0</v>
      </c>
      <c r="B1" s="2" t="s">
        <v>1</v>
      </c>
      <c r="C1" s="3" t="s">
        <v>129</v>
      </c>
      <c r="D1" s="4"/>
      <c r="E1" s="5" t="s">
        <v>3</v>
      </c>
      <c r="F1" s="151"/>
      <c r="G1" s="168" t="s">
        <v>130</v>
      </c>
      <c r="H1" s="156"/>
      <c r="I1" s="160" t="s">
        <v>5</v>
      </c>
      <c r="J1" s="7" t="s">
        <v>112</v>
      </c>
      <c r="K1" s="7"/>
      <c r="L1" s="8" t="s">
        <v>3</v>
      </c>
      <c r="M1" s="7"/>
      <c r="N1" s="169" t="s">
        <v>113</v>
      </c>
      <c r="O1" s="8"/>
      <c r="P1" s="8" t="s">
        <v>5</v>
      </c>
      <c r="Q1" s="2" t="s">
        <v>109</v>
      </c>
      <c r="R1" s="2" t="s">
        <v>7</v>
      </c>
      <c r="S1" s="2" t="s">
        <v>105</v>
      </c>
      <c r="T1" s="184" t="s">
        <v>126</v>
      </c>
    </row>
    <row r="2" spans="1:23" x14ac:dyDescent="0.25">
      <c r="A2" s="29" t="s">
        <v>106</v>
      </c>
      <c r="B2" s="29" t="s">
        <v>9</v>
      </c>
      <c r="C2" s="143">
        <v>69257062672</v>
      </c>
      <c r="D2" s="145" t="s">
        <v>10</v>
      </c>
      <c r="E2" s="146">
        <v>1000</v>
      </c>
      <c r="F2" s="152" t="s">
        <v>11</v>
      </c>
      <c r="G2" s="174">
        <v>1.8524189310000001</v>
      </c>
      <c r="H2" s="157" t="s">
        <v>12</v>
      </c>
      <c r="I2" s="161">
        <f t="shared" ref="I2:I9" si="0">C2/E2*G2</f>
        <v>128293093.99906626</v>
      </c>
      <c r="J2" s="128">
        <v>65066758177</v>
      </c>
      <c r="K2" s="38" t="s">
        <v>10</v>
      </c>
      <c r="L2" s="39">
        <v>1000</v>
      </c>
      <c r="M2" s="39" t="s">
        <v>11</v>
      </c>
      <c r="N2" s="179">
        <v>1.8260405824999999</v>
      </c>
      <c r="O2" s="38" t="s">
        <v>12</v>
      </c>
      <c r="P2" s="41">
        <v>118814541.00291571</v>
      </c>
      <c r="Q2" s="42">
        <f>C2-J2</f>
        <v>4190304495</v>
      </c>
      <c r="R2" s="171">
        <f t="shared" ref="R2:R9" si="1">G2-N2</f>
        <v>2.6378348500000204E-2</v>
      </c>
      <c r="S2" s="42">
        <f t="shared" ref="S2:S9" si="2">I2-P2</f>
        <v>9478552.9961505532</v>
      </c>
      <c r="T2" s="185">
        <f>(I2-P2)/P2</f>
        <v>7.977603512282179E-2</v>
      </c>
    </row>
    <row r="3" spans="1:23" x14ac:dyDescent="0.25">
      <c r="A3" s="126" t="s">
        <v>107</v>
      </c>
      <c r="B3" s="45" t="s">
        <v>9</v>
      </c>
      <c r="C3" s="144">
        <v>68705198855</v>
      </c>
      <c r="D3" s="147" t="s">
        <v>10</v>
      </c>
      <c r="E3" s="148">
        <v>1000</v>
      </c>
      <c r="F3" s="153" t="s">
        <v>11</v>
      </c>
      <c r="G3" s="175">
        <v>0.99710196809999996</v>
      </c>
      <c r="H3" s="158" t="s">
        <v>12</v>
      </c>
      <c r="I3" s="162">
        <f t="shared" si="0"/>
        <v>68506088.997022361</v>
      </c>
      <c r="J3" s="129">
        <v>64447489941</v>
      </c>
      <c r="K3" s="54" t="s">
        <v>10</v>
      </c>
      <c r="L3" s="55">
        <v>1000</v>
      </c>
      <c r="M3" s="55" t="s">
        <v>11</v>
      </c>
      <c r="N3" s="170">
        <v>0.67999514090000002</v>
      </c>
      <c r="O3" s="54" t="s">
        <v>12</v>
      </c>
      <c r="P3" s="57">
        <v>43823980.003081627</v>
      </c>
      <c r="Q3" s="193">
        <f>C3-J3</f>
        <v>4257708914</v>
      </c>
      <c r="R3" s="194">
        <f t="shared" ref="R3" si="3">G3-N3</f>
        <v>0.31710682719999994</v>
      </c>
      <c r="S3" s="193">
        <f t="shared" ref="S3" si="4">I3-P3</f>
        <v>24682108.993940733</v>
      </c>
      <c r="T3" s="186">
        <f t="shared" ref="T3:T64" si="5">(I3-P3)/P3</f>
        <v>0.56321011903083951</v>
      </c>
    </row>
    <row r="4" spans="1:23" x14ac:dyDescent="0.25">
      <c r="A4" s="29" t="s">
        <v>13</v>
      </c>
      <c r="B4" s="29" t="s">
        <v>9</v>
      </c>
      <c r="C4" s="143">
        <v>69261385048</v>
      </c>
      <c r="D4" s="145" t="s">
        <v>10</v>
      </c>
      <c r="E4" s="146">
        <v>1000</v>
      </c>
      <c r="F4" s="152" t="s">
        <v>11</v>
      </c>
      <c r="G4" s="174">
        <v>0.99591213599999995</v>
      </c>
      <c r="H4" s="157" t="s">
        <v>12</v>
      </c>
      <c r="I4" s="161">
        <f t="shared" si="0"/>
        <v>68978253.925472125</v>
      </c>
      <c r="J4" s="128">
        <v>65070810280</v>
      </c>
      <c r="K4" s="38" t="s">
        <v>10</v>
      </c>
      <c r="L4" s="39">
        <v>1000</v>
      </c>
      <c r="M4" s="39" t="s">
        <v>11</v>
      </c>
      <c r="N4" s="179">
        <v>1.0137757885000001</v>
      </c>
      <c r="O4" s="38" t="s">
        <v>12</v>
      </c>
      <c r="P4" s="41">
        <v>65967211.999940909</v>
      </c>
      <c r="Q4" s="42">
        <f>C4-J4</f>
        <v>4190574768</v>
      </c>
      <c r="R4" s="171">
        <f t="shared" si="1"/>
        <v>-1.7863652500000105E-2</v>
      </c>
      <c r="S4" s="42">
        <f>I4-P4</f>
        <v>3011041.925531216</v>
      </c>
      <c r="T4" s="185">
        <f t="shared" si="5"/>
        <v>4.5644523002335055E-2</v>
      </c>
    </row>
    <row r="5" spans="1:23" x14ac:dyDescent="0.25">
      <c r="A5" s="45" t="s">
        <v>14</v>
      </c>
      <c r="B5" s="45" t="s">
        <v>9</v>
      </c>
      <c r="C5" s="144">
        <v>69261385048</v>
      </c>
      <c r="D5" s="147" t="s">
        <v>10</v>
      </c>
      <c r="E5" s="148">
        <v>1000</v>
      </c>
      <c r="F5" s="153" t="s">
        <v>11</v>
      </c>
      <c r="G5" s="175">
        <v>3.7685990000000003E-2</v>
      </c>
      <c r="H5" s="158" t="s">
        <v>12</v>
      </c>
      <c r="I5" s="162">
        <f t="shared" si="0"/>
        <v>2610183.8643050776</v>
      </c>
      <c r="J5" s="129">
        <v>65070810280</v>
      </c>
      <c r="K5" s="54" t="s">
        <v>10</v>
      </c>
      <c r="L5" s="55">
        <v>1000</v>
      </c>
      <c r="M5" s="55" t="s">
        <v>11</v>
      </c>
      <c r="N5" s="180">
        <v>3.9098574800000001E-2</v>
      </c>
      <c r="O5" s="54" t="s">
        <v>12</v>
      </c>
      <c r="P5" s="57">
        <v>2544175.943029189</v>
      </c>
      <c r="Q5" s="58">
        <f t="shared" ref="Q5:Q9" si="6">C5-J5</f>
        <v>4190574768</v>
      </c>
      <c r="R5" s="172">
        <f t="shared" si="1"/>
        <v>-1.4125847999999983E-3</v>
      </c>
      <c r="S5" s="58">
        <f t="shared" si="2"/>
        <v>66007.92127588857</v>
      </c>
      <c r="T5" s="186">
        <f t="shared" si="5"/>
        <v>2.5944715599070214E-2</v>
      </c>
    </row>
    <row r="6" spans="1:23" x14ac:dyDescent="0.25">
      <c r="A6" s="29" t="s">
        <v>15</v>
      </c>
      <c r="B6" s="29" t="s">
        <v>9</v>
      </c>
      <c r="C6" s="143">
        <v>31929370261</v>
      </c>
      <c r="D6" s="145" t="s">
        <v>10</v>
      </c>
      <c r="E6" s="146">
        <v>1000</v>
      </c>
      <c r="F6" s="152" t="s">
        <v>11</v>
      </c>
      <c r="G6" s="174">
        <v>1.3529863351</v>
      </c>
      <c r="H6" s="157" t="s">
        <v>12</v>
      </c>
      <c r="I6" s="161">
        <f t="shared" si="0"/>
        <v>43200001.651481323</v>
      </c>
      <c r="J6" s="128">
        <v>30271653037</v>
      </c>
      <c r="K6" s="38" t="s">
        <v>10</v>
      </c>
      <c r="L6" s="39">
        <v>1000</v>
      </c>
      <c r="M6" s="39" t="s">
        <v>11</v>
      </c>
      <c r="N6" s="179">
        <v>1.3780905429999999</v>
      </c>
      <c r="O6" s="38" t="s">
        <v>12</v>
      </c>
      <c r="P6" s="41">
        <v>41717078.77126693</v>
      </c>
      <c r="Q6" s="42">
        <f t="shared" si="6"/>
        <v>1657717224</v>
      </c>
      <c r="R6" s="171">
        <f t="shared" si="1"/>
        <v>-2.5104207899999897E-2</v>
      </c>
      <c r="S6" s="42">
        <f>I6-P6</f>
        <v>1482922.8802143931</v>
      </c>
      <c r="T6" s="185">
        <f t="shared" si="5"/>
        <v>3.5547140976605766E-2</v>
      </c>
    </row>
    <row r="7" spans="1:23" x14ac:dyDescent="0.25">
      <c r="A7" s="45" t="s">
        <v>16</v>
      </c>
      <c r="B7" s="45" t="s">
        <v>9</v>
      </c>
      <c r="C7" s="144">
        <v>21168955538</v>
      </c>
      <c r="D7" s="147" t="s">
        <v>10</v>
      </c>
      <c r="E7" s="148">
        <v>1000</v>
      </c>
      <c r="F7" s="153" t="s">
        <v>11</v>
      </c>
      <c r="G7" s="175">
        <v>0.17557017599999999</v>
      </c>
      <c r="H7" s="158" t="s">
        <v>12</v>
      </c>
      <c r="I7" s="162">
        <f t="shared" si="0"/>
        <v>3716637.2495428342</v>
      </c>
      <c r="J7" s="129">
        <v>19882432923</v>
      </c>
      <c r="K7" s="54" t="s">
        <v>10</v>
      </c>
      <c r="L7" s="55">
        <v>1000</v>
      </c>
      <c r="M7" s="55" t="s">
        <v>11</v>
      </c>
      <c r="N7" s="180">
        <v>0.1805433984</v>
      </c>
      <c r="O7" s="54" t="s">
        <v>12</v>
      </c>
      <c r="P7" s="57">
        <v>3589642.0083784657</v>
      </c>
      <c r="Q7" s="58">
        <f t="shared" si="6"/>
        <v>1286522615</v>
      </c>
      <c r="R7" s="172">
        <f t="shared" si="1"/>
        <v>-4.9732224000000047E-3</v>
      </c>
      <c r="S7" s="58">
        <f t="shared" si="2"/>
        <v>126995.24116436858</v>
      </c>
      <c r="T7" s="186">
        <f t="shared" si="5"/>
        <v>3.5378246874744931E-2</v>
      </c>
    </row>
    <row r="8" spans="1:23" x14ac:dyDescent="0.25">
      <c r="A8" s="61" t="s">
        <v>17</v>
      </c>
      <c r="B8" s="61" t="s">
        <v>9</v>
      </c>
      <c r="C8" s="143">
        <v>64289659205</v>
      </c>
      <c r="D8" s="145" t="s">
        <v>10</v>
      </c>
      <c r="E8" s="146">
        <v>1000</v>
      </c>
      <c r="F8" s="152" t="s">
        <v>11</v>
      </c>
      <c r="G8" s="174">
        <v>0.3527081393</v>
      </c>
      <c r="H8" s="157" t="s">
        <v>12</v>
      </c>
      <c r="I8" s="161">
        <f t="shared" si="0"/>
        <v>22675486.074426666</v>
      </c>
      <c r="J8" s="128">
        <v>60407929114</v>
      </c>
      <c r="K8" s="38" t="s">
        <v>10</v>
      </c>
      <c r="L8" s="39">
        <v>1000</v>
      </c>
      <c r="M8" s="39" t="s">
        <v>11</v>
      </c>
      <c r="N8" s="179">
        <v>0.3635801481</v>
      </c>
      <c r="O8" s="38" t="s">
        <v>12</v>
      </c>
      <c r="P8" s="41">
        <v>21963123.813682422</v>
      </c>
      <c r="Q8" s="42">
        <f t="shared" si="6"/>
        <v>3881730091</v>
      </c>
      <c r="R8" s="171">
        <f t="shared" si="1"/>
        <v>-1.0872008799999999E-2</v>
      </c>
      <c r="S8" s="42">
        <f t="shared" si="2"/>
        <v>712362.26074424386</v>
      </c>
      <c r="T8" s="185">
        <f>(I8-P8)/P8</f>
        <v>3.2434469103182026E-2</v>
      </c>
    </row>
    <row r="9" spans="1:23" ht="30.75" thickBot="1" x14ac:dyDescent="0.3">
      <c r="A9" s="77" t="s">
        <v>18</v>
      </c>
      <c r="B9" s="61" t="s">
        <v>19</v>
      </c>
      <c r="C9" s="144">
        <v>23268661807</v>
      </c>
      <c r="D9" s="147" t="s">
        <v>10</v>
      </c>
      <c r="E9" s="148">
        <v>1000</v>
      </c>
      <c r="F9" s="153" t="s">
        <v>11</v>
      </c>
      <c r="G9" s="175">
        <v>0.1093992865</v>
      </c>
      <c r="H9" s="158" t="s">
        <v>12</v>
      </c>
      <c r="I9" s="162">
        <f t="shared" si="0"/>
        <v>2545574.9994956008</v>
      </c>
      <c r="J9" s="129">
        <v>21898134833</v>
      </c>
      <c r="K9" s="54" t="s">
        <v>10</v>
      </c>
      <c r="L9" s="55">
        <v>1000</v>
      </c>
      <c r="M9" s="55" t="s">
        <v>11</v>
      </c>
      <c r="N9" s="180">
        <v>0.14734017420000001</v>
      </c>
      <c r="O9" s="54" t="s">
        <v>12</v>
      </c>
      <c r="P9" s="57">
        <v>3226475.0009493083</v>
      </c>
      <c r="Q9" s="190">
        <f t="shared" si="6"/>
        <v>1370526974</v>
      </c>
      <c r="R9" s="191">
        <f t="shared" si="1"/>
        <v>-3.7940887700000009E-2</v>
      </c>
      <c r="S9" s="190">
        <f t="shared" si="2"/>
        <v>-680900.00145370746</v>
      </c>
      <c r="T9" s="192">
        <f t="shared" si="5"/>
        <v>-0.21103526333021949</v>
      </c>
    </row>
    <row r="10" spans="1:23" ht="15.75" thickBot="1" x14ac:dyDescent="0.3">
      <c r="A10" s="78" t="s">
        <v>20</v>
      </c>
      <c r="B10" s="79"/>
      <c r="C10" s="142"/>
      <c r="D10" s="149"/>
      <c r="E10" s="150"/>
      <c r="F10" s="154"/>
      <c r="G10" s="176"/>
      <c r="H10" s="159"/>
      <c r="I10" s="163"/>
      <c r="J10" s="80"/>
      <c r="K10" s="85"/>
      <c r="L10" s="82"/>
      <c r="M10" s="82"/>
      <c r="N10" s="181"/>
      <c r="O10" s="85"/>
      <c r="P10" s="86"/>
      <c r="Q10" s="86"/>
      <c r="R10" s="173"/>
      <c r="S10" s="86"/>
      <c r="T10" s="187"/>
    </row>
    <row r="11" spans="1:23" x14ac:dyDescent="0.25">
      <c r="A11" s="12" t="s">
        <v>21</v>
      </c>
      <c r="B11" s="12" t="s">
        <v>9</v>
      </c>
      <c r="C11" s="144">
        <v>2473570612</v>
      </c>
      <c r="D11" s="147" t="s">
        <v>10</v>
      </c>
      <c r="E11" s="148">
        <v>1000</v>
      </c>
      <c r="F11" s="153" t="s">
        <v>11</v>
      </c>
      <c r="G11" s="175">
        <v>1.3466912016999999</v>
      </c>
      <c r="H11" s="158" t="s">
        <v>12</v>
      </c>
      <c r="I11" s="162">
        <f t="shared" ref="I11:I24" si="7">C11/E11*G11</f>
        <v>3331135.7799640843</v>
      </c>
      <c r="J11" s="127">
        <v>2313732400</v>
      </c>
      <c r="K11" s="54" t="s">
        <v>10</v>
      </c>
      <c r="L11" s="55">
        <v>1000</v>
      </c>
      <c r="M11" s="55" t="s">
        <v>11</v>
      </c>
      <c r="N11" s="180">
        <v>1.3717951782</v>
      </c>
      <c r="O11" s="54" t="s">
        <v>12</v>
      </c>
      <c r="P11" s="57">
        <v>3173966.9499651133</v>
      </c>
      <c r="Q11" s="193">
        <f t="shared" ref="Q11:Q24" si="8">C11-J11</f>
        <v>159838212</v>
      </c>
      <c r="R11" s="194">
        <f t="shared" ref="R11:R24" si="9">G11-N11</f>
        <v>-2.5103976500000069E-2</v>
      </c>
      <c r="S11" s="193">
        <f t="shared" ref="S11:S24" si="10">I11-P11</f>
        <v>157168.82999897096</v>
      </c>
      <c r="T11" s="195">
        <f t="shared" si="5"/>
        <v>4.9518105410863995E-2</v>
      </c>
    </row>
    <row r="12" spans="1:23" x14ac:dyDescent="0.25">
      <c r="A12" s="29" t="s">
        <v>22</v>
      </c>
      <c r="B12" s="29" t="s">
        <v>9</v>
      </c>
      <c r="C12" s="143">
        <v>4971725843</v>
      </c>
      <c r="D12" s="145" t="s">
        <v>10</v>
      </c>
      <c r="E12" s="146">
        <v>1000</v>
      </c>
      <c r="F12" s="152" t="s">
        <v>11</v>
      </c>
      <c r="G12" s="174">
        <f>2.6213942787+0.0124946089</f>
        <v>2.6338888876</v>
      </c>
      <c r="H12" s="157" t="s">
        <v>12</v>
      </c>
      <c r="I12" s="161">
        <f t="shared" si="7"/>
        <v>13094973.450071443</v>
      </c>
      <c r="J12" s="128">
        <v>4662881166</v>
      </c>
      <c r="K12" s="38" t="s">
        <v>10</v>
      </c>
      <c r="L12" s="39">
        <v>1000</v>
      </c>
      <c r="M12" s="39" t="s">
        <v>11</v>
      </c>
      <c r="N12" s="179">
        <v>2.6738512855000001</v>
      </c>
      <c r="O12" s="38" t="s">
        <v>12</v>
      </c>
      <c r="P12" s="41">
        <v>12467850.79984284</v>
      </c>
      <c r="Q12" s="190">
        <f t="shared" si="8"/>
        <v>308844677</v>
      </c>
      <c r="R12" s="191">
        <f t="shared" si="9"/>
        <v>-3.9962397900000113E-2</v>
      </c>
      <c r="S12" s="190">
        <f t="shared" si="10"/>
        <v>627122.65022860281</v>
      </c>
      <c r="T12" s="192">
        <f t="shared" si="5"/>
        <v>5.0299178286325644E-2</v>
      </c>
    </row>
    <row r="13" spans="1:23" x14ac:dyDescent="0.25">
      <c r="A13" s="29" t="s">
        <v>23</v>
      </c>
      <c r="B13" s="29" t="s">
        <v>9</v>
      </c>
      <c r="C13" s="143">
        <v>4971725843</v>
      </c>
      <c r="D13" s="145" t="s">
        <v>10</v>
      </c>
      <c r="E13" s="146">
        <v>1000</v>
      </c>
      <c r="F13" s="152" t="s">
        <v>11</v>
      </c>
      <c r="G13" s="174">
        <v>0.45141000949999999</v>
      </c>
      <c r="H13" s="157" t="s">
        <v>12</v>
      </c>
      <c r="I13" s="161">
        <f t="shared" si="7"/>
        <v>2244286.8100200258</v>
      </c>
      <c r="J13" s="128">
        <v>4662881166</v>
      </c>
      <c r="K13" s="38" t="s">
        <v>10</v>
      </c>
      <c r="L13" s="39">
        <v>1000</v>
      </c>
      <c r="M13" s="39" t="s">
        <v>11</v>
      </c>
      <c r="N13" s="179">
        <v>0.46</v>
      </c>
      <c r="O13" s="38" t="s">
        <v>12</v>
      </c>
      <c r="P13" s="41">
        <v>2144925.3363600001</v>
      </c>
      <c r="Q13" s="190">
        <f t="shared" si="8"/>
        <v>308844677</v>
      </c>
      <c r="R13" s="191">
        <f t="shared" si="9"/>
        <v>-8.5899905000000332E-3</v>
      </c>
      <c r="S13" s="190">
        <f t="shared" si="10"/>
        <v>99361.473660025746</v>
      </c>
      <c r="T13" s="192">
        <f t="shared" si="5"/>
        <v>4.6323977798054743E-2</v>
      </c>
    </row>
    <row r="14" spans="1:23" x14ac:dyDescent="0.25">
      <c r="A14" s="29" t="s">
        <v>24</v>
      </c>
      <c r="B14" s="29" t="s">
        <v>19</v>
      </c>
      <c r="C14" s="143">
        <f>4952399179+31292</f>
        <v>4952430471</v>
      </c>
      <c r="D14" s="145" t="s">
        <v>10</v>
      </c>
      <c r="E14" s="146">
        <v>1000</v>
      </c>
      <c r="F14" s="152" t="s">
        <v>11</v>
      </c>
      <c r="G14" s="174">
        <v>0.1231718453</v>
      </c>
      <c r="H14" s="157" t="s">
        <v>12</v>
      </c>
      <c r="I14" s="161">
        <f t="shared" si="7"/>
        <v>609999.99983301817</v>
      </c>
      <c r="J14" s="128">
        <v>4641233874</v>
      </c>
      <c r="K14" s="38" t="s">
        <v>10</v>
      </c>
      <c r="L14" s="39">
        <v>1000</v>
      </c>
      <c r="M14" s="39" t="s">
        <v>11</v>
      </c>
      <c r="N14" s="179">
        <v>0.13143056710000001</v>
      </c>
      <c r="O14" s="38" t="s">
        <v>12</v>
      </c>
      <c r="P14" s="41">
        <v>610000.00010354992</v>
      </c>
      <c r="Q14" s="190">
        <f t="shared" si="8"/>
        <v>311196597</v>
      </c>
      <c r="R14" s="191">
        <f t="shared" si="9"/>
        <v>-8.2587218000000073E-3</v>
      </c>
      <c r="S14" s="190">
        <f t="shared" si="10"/>
        <v>-2.7053174562752247E-4</v>
      </c>
      <c r="T14" s="192">
        <f t="shared" si="5"/>
        <v>-4.434946648878666E-10</v>
      </c>
      <c r="W14" s="130"/>
    </row>
    <row r="15" spans="1:23" x14ac:dyDescent="0.25">
      <c r="A15" s="45" t="s">
        <v>25</v>
      </c>
      <c r="B15" s="45" t="s">
        <v>9</v>
      </c>
      <c r="C15" s="144">
        <v>476358741</v>
      </c>
      <c r="D15" s="147" t="s">
        <v>10</v>
      </c>
      <c r="E15" s="148">
        <v>1000</v>
      </c>
      <c r="F15" s="153" t="s">
        <v>11</v>
      </c>
      <c r="G15" s="175">
        <v>1.0532171803000001</v>
      </c>
      <c r="H15" s="158" t="s">
        <v>12</v>
      </c>
      <c r="I15" s="162">
        <f t="shared" si="7"/>
        <v>501709.21000727802</v>
      </c>
      <c r="J15" s="129">
        <v>440968825</v>
      </c>
      <c r="K15" s="54" t="s">
        <v>10</v>
      </c>
      <c r="L15" s="55">
        <v>1000</v>
      </c>
      <c r="M15" s="55" t="s">
        <v>11</v>
      </c>
      <c r="N15" s="180">
        <v>1.0650118861</v>
      </c>
      <c r="O15" s="54" t="s">
        <v>12</v>
      </c>
      <c r="P15" s="57">
        <v>469637.04002455081</v>
      </c>
      <c r="Q15" s="193">
        <f t="shared" si="8"/>
        <v>35389916</v>
      </c>
      <c r="R15" s="194">
        <f t="shared" si="9"/>
        <v>-1.1794705799999861E-2</v>
      </c>
      <c r="S15" s="193">
        <f t="shared" si="10"/>
        <v>32072.16998272721</v>
      </c>
      <c r="T15" s="195">
        <f t="shared" si="5"/>
        <v>6.8291397929453351E-2</v>
      </c>
      <c r="W15" s="130"/>
    </row>
    <row r="16" spans="1:23" x14ac:dyDescent="0.25">
      <c r="A16" s="45" t="s">
        <v>26</v>
      </c>
      <c r="B16" s="45" t="s">
        <v>9</v>
      </c>
      <c r="C16" s="144">
        <v>1754424282</v>
      </c>
      <c r="D16" s="147" t="s">
        <v>10</v>
      </c>
      <c r="E16" s="148">
        <v>1000</v>
      </c>
      <c r="F16" s="153" t="s">
        <v>11</v>
      </c>
      <c r="G16" s="175">
        <v>0.8217600411</v>
      </c>
      <c r="H16" s="158" t="s">
        <v>12</v>
      </c>
      <c r="I16" s="162">
        <f t="shared" si="7"/>
        <v>1441715.7700831578</v>
      </c>
      <c r="J16" s="129">
        <v>1463452195</v>
      </c>
      <c r="K16" s="54" t="s">
        <v>10</v>
      </c>
      <c r="L16" s="55">
        <v>1000</v>
      </c>
      <c r="M16" s="55" t="s">
        <v>11</v>
      </c>
      <c r="N16" s="180">
        <v>0.85722772790000001</v>
      </c>
      <c r="O16" s="54" t="s">
        <v>12</v>
      </c>
      <c r="P16" s="57">
        <v>1254511.8000101177</v>
      </c>
      <c r="Q16" s="58">
        <f t="shared" si="8"/>
        <v>290972087</v>
      </c>
      <c r="R16" s="172">
        <f t="shared" si="9"/>
        <v>-3.5467686800000009E-2</v>
      </c>
      <c r="S16" s="58">
        <f t="shared" si="10"/>
        <v>187203.97007304011</v>
      </c>
      <c r="T16" s="186">
        <f>(I16-P16)/P16</f>
        <v>0.14922455896511319</v>
      </c>
    </row>
    <row r="17" spans="1:22" x14ac:dyDescent="0.25">
      <c r="A17" s="118" t="s">
        <v>27</v>
      </c>
      <c r="B17" s="29" t="s">
        <v>9</v>
      </c>
      <c r="C17" s="143">
        <v>25204697845</v>
      </c>
      <c r="D17" s="145" t="s">
        <v>10</v>
      </c>
      <c r="E17" s="146">
        <v>1000</v>
      </c>
      <c r="F17" s="152" t="s">
        <v>11</v>
      </c>
      <c r="G17" s="174">
        <f>2.032904231+0.0046993045</f>
        <v>2.0376035354999997</v>
      </c>
      <c r="H17" s="157" t="s">
        <v>12</v>
      </c>
      <c r="I17" s="161">
        <f t="shared" si="7"/>
        <v>51357181.440181218</v>
      </c>
      <c r="J17" s="128">
        <v>23658991510</v>
      </c>
      <c r="K17" s="38" t="s">
        <v>10</v>
      </c>
      <c r="L17" s="39">
        <v>1000</v>
      </c>
      <c r="M17" s="39" t="s">
        <v>11</v>
      </c>
      <c r="N17" s="179">
        <v>2.1142817469000001</v>
      </c>
      <c r="O17" s="38" t="s">
        <v>12</v>
      </c>
      <c r="P17" s="41">
        <v>50021773.899655074</v>
      </c>
      <c r="Q17" s="42">
        <f t="shared" si="8"/>
        <v>1545706335</v>
      </c>
      <c r="R17" s="171">
        <f t="shared" si="9"/>
        <v>-7.6678211400000418E-2</v>
      </c>
      <c r="S17" s="42">
        <f t="shared" si="10"/>
        <v>1335407.5405261442</v>
      </c>
      <c r="T17" s="185">
        <f t="shared" si="5"/>
        <v>2.6696525061366376E-2</v>
      </c>
    </row>
    <row r="18" spans="1:22" x14ac:dyDescent="0.25">
      <c r="A18" s="118" t="s">
        <v>108</v>
      </c>
      <c r="B18" s="118" t="s">
        <v>9</v>
      </c>
      <c r="C18" s="143">
        <v>25204697845</v>
      </c>
      <c r="D18" s="145"/>
      <c r="E18" s="146">
        <v>1000</v>
      </c>
      <c r="F18" s="152" t="s">
        <v>11</v>
      </c>
      <c r="G18" s="174">
        <v>0.23805086010000001</v>
      </c>
      <c r="H18" s="157" t="s">
        <v>12</v>
      </c>
      <c r="I18" s="161">
        <f t="shared" si="7"/>
        <v>6000000.0005628662</v>
      </c>
      <c r="J18" s="129">
        <v>23658991510</v>
      </c>
      <c r="K18" s="54"/>
      <c r="L18" s="55">
        <v>1000</v>
      </c>
      <c r="M18" s="55" t="s">
        <v>11</v>
      </c>
      <c r="N18" s="180">
        <v>0.25360337090000001</v>
      </c>
      <c r="O18" s="54" t="s">
        <v>12</v>
      </c>
      <c r="P18" s="57">
        <v>5999999.999030482</v>
      </c>
      <c r="Q18" s="190">
        <f t="shared" si="8"/>
        <v>1545706335</v>
      </c>
      <c r="R18" s="191">
        <f t="shared" si="9"/>
        <v>-1.5552510800000002E-2</v>
      </c>
      <c r="S18" s="190">
        <f t="shared" si="10"/>
        <v>1.5323841944336891E-3</v>
      </c>
      <c r="T18" s="192">
        <f t="shared" si="5"/>
        <v>2.5539736578021693E-10</v>
      </c>
    </row>
    <row r="19" spans="1:22" x14ac:dyDescent="0.25">
      <c r="A19" s="45" t="s">
        <v>28</v>
      </c>
      <c r="B19" s="45" t="s">
        <v>9</v>
      </c>
      <c r="C19" s="144">
        <v>2299517871</v>
      </c>
      <c r="D19" s="147" t="s">
        <v>10</v>
      </c>
      <c r="E19" s="148">
        <v>1000</v>
      </c>
      <c r="F19" s="153" t="s">
        <v>11</v>
      </c>
      <c r="G19" s="175">
        <f>2.0397594857+0.0061944159</f>
        <v>2.0459539015999999</v>
      </c>
      <c r="H19" s="158" t="s">
        <v>12</v>
      </c>
      <c r="I19" s="162">
        <f>C19/E19*G19</f>
        <v>4704707.5599713745</v>
      </c>
      <c r="J19" s="128">
        <v>2118548018</v>
      </c>
      <c r="K19" s="38" t="s">
        <v>10</v>
      </c>
      <c r="L19" s="39">
        <v>1000</v>
      </c>
      <c r="M19" s="39" t="s">
        <v>11</v>
      </c>
      <c r="N19" s="179">
        <v>2.1539897285</v>
      </c>
      <c r="O19" s="38" t="s">
        <v>12</v>
      </c>
      <c r="P19" s="41">
        <v>4563330.6701060338</v>
      </c>
      <c r="Q19" s="193">
        <f>C19-J19</f>
        <v>180969853</v>
      </c>
      <c r="R19" s="194">
        <f t="shared" si="9"/>
        <v>-0.10803582690000013</v>
      </c>
      <c r="S19" s="193">
        <f t="shared" si="10"/>
        <v>141376.88986534066</v>
      </c>
      <c r="T19" s="195">
        <f t="shared" si="5"/>
        <v>3.0981075027389067E-2</v>
      </c>
    </row>
    <row r="20" spans="1:22" x14ac:dyDescent="0.25">
      <c r="A20" s="29" t="s">
        <v>29</v>
      </c>
      <c r="B20" s="29" t="s">
        <v>9</v>
      </c>
      <c r="C20" s="143">
        <v>2299517871</v>
      </c>
      <c r="D20" s="145" t="s">
        <v>10</v>
      </c>
      <c r="E20" s="146">
        <v>1000</v>
      </c>
      <c r="F20" s="152" t="s">
        <v>11</v>
      </c>
      <c r="G20" s="174">
        <v>0.44147027639999997</v>
      </c>
      <c r="H20" s="157" t="s">
        <v>12</v>
      </c>
      <c r="I20" s="161">
        <f>C20/E20*G20</f>
        <v>1015168.7900971094</v>
      </c>
      <c r="J20" s="127">
        <v>2118548018</v>
      </c>
      <c r="K20" s="54" t="s">
        <v>10</v>
      </c>
      <c r="L20" s="55">
        <v>1000</v>
      </c>
      <c r="M20" s="55" t="s">
        <v>11</v>
      </c>
      <c r="N20" s="170">
        <v>0.4640514785</v>
      </c>
      <c r="O20" s="54" t="s">
        <v>12</v>
      </c>
      <c r="P20" s="57">
        <v>983115.34002614464</v>
      </c>
      <c r="Q20" s="193">
        <f t="shared" ref="Q20" si="11">C20-J20</f>
        <v>180969853</v>
      </c>
      <c r="R20" s="194">
        <f>G20-N20</f>
        <v>-2.2581202100000031E-2</v>
      </c>
      <c r="S20" s="193">
        <f>I20-P20</f>
        <v>32053.450070964755</v>
      </c>
      <c r="T20" s="195">
        <f t="shared" si="5"/>
        <v>3.2603956795254907E-2</v>
      </c>
    </row>
    <row r="21" spans="1:22" x14ac:dyDescent="0.25">
      <c r="A21" s="45" t="s">
        <v>30</v>
      </c>
      <c r="B21" s="45" t="s">
        <v>19</v>
      </c>
      <c r="C21" s="144">
        <v>2279306052</v>
      </c>
      <c r="D21" s="147" t="s">
        <v>10</v>
      </c>
      <c r="E21" s="148">
        <v>1000</v>
      </c>
      <c r="F21" s="153" t="s">
        <v>11</v>
      </c>
      <c r="G21" s="175">
        <v>4.6066652600000001E-2</v>
      </c>
      <c r="H21" s="158" t="s">
        <v>12</v>
      </c>
      <c r="I21" s="162">
        <f t="shared" si="7"/>
        <v>105000.00006656154</v>
      </c>
      <c r="J21" s="128">
        <v>2098141569</v>
      </c>
      <c r="K21" s="38" t="s">
        <v>10</v>
      </c>
      <c r="L21" s="39">
        <v>1000</v>
      </c>
      <c r="M21" s="39" t="s">
        <v>11</v>
      </c>
      <c r="N21" s="179">
        <v>4.0512042300000002E-2</v>
      </c>
      <c r="O21" s="38" t="s">
        <v>12</v>
      </c>
      <c r="P21" s="41">
        <v>84999.999994716374</v>
      </c>
      <c r="Q21" s="193">
        <f t="shared" si="8"/>
        <v>181164483</v>
      </c>
      <c r="R21" s="194">
        <f t="shared" si="9"/>
        <v>5.5546102999999986E-3</v>
      </c>
      <c r="S21" s="193">
        <f t="shared" si="10"/>
        <v>20000.000071845163</v>
      </c>
      <c r="T21" s="195">
        <f t="shared" si="5"/>
        <v>0.235294118506922</v>
      </c>
    </row>
    <row r="22" spans="1:22" x14ac:dyDescent="0.25">
      <c r="A22" s="29" t="s">
        <v>31</v>
      </c>
      <c r="B22" s="29" t="s">
        <v>9</v>
      </c>
      <c r="C22" s="143">
        <v>9463728</v>
      </c>
      <c r="D22" s="145" t="s">
        <v>10</v>
      </c>
      <c r="E22" s="146">
        <v>1000</v>
      </c>
      <c r="F22" s="152" t="s">
        <v>11</v>
      </c>
      <c r="G22" s="174">
        <v>2.4666626781000001</v>
      </c>
      <c r="H22" s="157" t="s">
        <v>12</v>
      </c>
      <c r="I22" s="161">
        <f t="shared" si="7"/>
        <v>23343.824653289954</v>
      </c>
      <c r="J22" s="129">
        <v>9439992</v>
      </c>
      <c r="K22" s="54" t="s">
        <v>10</v>
      </c>
      <c r="L22" s="55">
        <v>1000</v>
      </c>
      <c r="M22" s="55" t="s">
        <v>11</v>
      </c>
      <c r="N22" s="180">
        <v>1.8425130000000001</v>
      </c>
      <c r="O22" s="54" t="s">
        <v>12</v>
      </c>
      <c r="P22" s="57">
        <v>17393.307979896003</v>
      </c>
      <c r="Q22" s="190">
        <f t="shared" si="8"/>
        <v>23736</v>
      </c>
      <c r="R22" s="191">
        <f t="shared" si="9"/>
        <v>0.62414967809999999</v>
      </c>
      <c r="S22" s="190">
        <f t="shared" si="10"/>
        <v>5950.5166733939514</v>
      </c>
      <c r="T22" s="192">
        <f t="shared" si="5"/>
        <v>0.34211529401260737</v>
      </c>
    </row>
    <row r="23" spans="1:22" x14ac:dyDescent="0.25">
      <c r="A23" s="45" t="s">
        <v>85</v>
      </c>
      <c r="B23" s="45" t="s">
        <v>9</v>
      </c>
      <c r="C23" s="144">
        <v>142255865</v>
      </c>
      <c r="D23" s="147" t="s">
        <v>10</v>
      </c>
      <c r="E23" s="148">
        <v>1000</v>
      </c>
      <c r="F23" s="153" t="s">
        <v>11</v>
      </c>
      <c r="G23" s="175">
        <v>1.5279481799000001</v>
      </c>
      <c r="H23" s="158" t="s">
        <v>12</v>
      </c>
      <c r="I23" s="162">
        <f t="shared" si="7"/>
        <v>217359.59000685011</v>
      </c>
      <c r="J23" s="128">
        <v>131143137</v>
      </c>
      <c r="K23" s="38" t="s">
        <v>10</v>
      </c>
      <c r="L23" s="39">
        <v>1000</v>
      </c>
      <c r="M23" s="39" t="s">
        <v>11</v>
      </c>
      <c r="N23" s="179">
        <v>1.6574225305999999</v>
      </c>
      <c r="O23" s="38" t="s">
        <v>12</v>
      </c>
      <c r="P23" s="41">
        <v>217359.58999736246</v>
      </c>
      <c r="Q23" s="193">
        <f t="shared" si="8"/>
        <v>11112728</v>
      </c>
      <c r="R23" s="194">
        <f t="shared" si="9"/>
        <v>-0.1294743506999998</v>
      </c>
      <c r="S23" s="193">
        <f t="shared" si="10"/>
        <v>9.4876450020819902E-6</v>
      </c>
      <c r="T23" s="195">
        <f t="shared" si="5"/>
        <v>4.3649534866150224E-11</v>
      </c>
    </row>
    <row r="24" spans="1:22" ht="15.75" thickBot="1" x14ac:dyDescent="0.3">
      <c r="A24" s="118" t="s">
        <v>86</v>
      </c>
      <c r="B24" s="29" t="s">
        <v>9</v>
      </c>
      <c r="C24" s="143">
        <v>142255865</v>
      </c>
      <c r="D24" s="145" t="s">
        <v>10</v>
      </c>
      <c r="E24" s="146">
        <v>1000</v>
      </c>
      <c r="F24" s="152" t="s">
        <v>11</v>
      </c>
      <c r="G24" s="174">
        <v>0.5</v>
      </c>
      <c r="H24" s="157" t="s">
        <v>12</v>
      </c>
      <c r="I24" s="161">
        <f t="shared" si="7"/>
        <v>71127.932499999995</v>
      </c>
      <c r="J24" s="129">
        <v>131143137</v>
      </c>
      <c r="K24" s="54" t="s">
        <v>10</v>
      </c>
      <c r="L24" s="55">
        <v>1000</v>
      </c>
      <c r="M24" s="55" t="s">
        <v>11</v>
      </c>
      <c r="N24" s="180">
        <v>0.36735349709999998</v>
      </c>
      <c r="O24" s="54" t="s">
        <v>12</v>
      </c>
      <c r="P24" s="57">
        <v>48175.889997614395</v>
      </c>
      <c r="Q24" s="193">
        <f t="shared" si="8"/>
        <v>11112728</v>
      </c>
      <c r="R24" s="194">
        <f t="shared" si="9"/>
        <v>0.13264650290000002</v>
      </c>
      <c r="S24" s="193">
        <f t="shared" si="10"/>
        <v>22952.042502385601</v>
      </c>
      <c r="T24" s="197">
        <f t="shared" si="5"/>
        <v>0.47642176415468723</v>
      </c>
    </row>
    <row r="25" spans="1:22" ht="15.75" thickBot="1" x14ac:dyDescent="0.3">
      <c r="A25" s="78" t="s">
        <v>32</v>
      </c>
      <c r="B25" s="79"/>
      <c r="C25" s="142"/>
      <c r="D25" s="149"/>
      <c r="E25" s="150"/>
      <c r="F25" s="154"/>
      <c r="G25" s="176"/>
      <c r="H25" s="159"/>
      <c r="I25" s="159"/>
      <c r="J25" s="80"/>
      <c r="K25" s="80"/>
      <c r="L25" s="80"/>
      <c r="M25" s="80"/>
      <c r="N25" s="181"/>
      <c r="O25" s="80"/>
      <c r="P25" s="80"/>
      <c r="Q25" s="86"/>
      <c r="R25" s="173"/>
      <c r="S25" s="86"/>
      <c r="T25" s="187"/>
    </row>
    <row r="26" spans="1:22" x14ac:dyDescent="0.25">
      <c r="A26" s="89" t="s">
        <v>115</v>
      </c>
      <c r="B26" s="89" t="s">
        <v>19</v>
      </c>
      <c r="C26" s="144">
        <f>21511072119+19456</f>
        <v>21511091575</v>
      </c>
      <c r="D26" s="147" t="s">
        <v>10</v>
      </c>
      <c r="E26" s="148">
        <v>1000</v>
      </c>
      <c r="F26" s="153" t="s">
        <v>11</v>
      </c>
      <c r="G26" s="175">
        <v>1.5236325821000001</v>
      </c>
      <c r="H26" s="158" t="s">
        <v>12</v>
      </c>
      <c r="I26" s="162">
        <f>C26/E26*G26</f>
        <v>32775000.000206806</v>
      </c>
      <c r="J26" s="129">
        <v>20339558923</v>
      </c>
      <c r="K26" s="54" t="s">
        <v>10</v>
      </c>
      <c r="L26" s="55">
        <v>1000</v>
      </c>
      <c r="M26" s="55" t="s">
        <v>11</v>
      </c>
      <c r="N26" s="180">
        <v>1.5</v>
      </c>
      <c r="O26" s="54" t="s">
        <v>12</v>
      </c>
      <c r="P26" s="57">
        <v>30509338.384500001</v>
      </c>
      <c r="Q26" s="193">
        <f>C26-J26</f>
        <v>1171532652</v>
      </c>
      <c r="R26" s="194">
        <f t="shared" ref="R26:R50" si="12">G26-N26</f>
        <v>2.3632582100000077E-2</v>
      </c>
      <c r="S26" s="193">
        <f>I26-P26</f>
        <v>2265661.6157068051</v>
      </c>
      <c r="T26" s="195">
        <f t="shared" si="5"/>
        <v>7.4261250347462615E-2</v>
      </c>
      <c r="V26" s="130"/>
    </row>
    <row r="27" spans="1:22" x14ac:dyDescent="0.25">
      <c r="A27" s="12" t="s">
        <v>34</v>
      </c>
      <c r="B27" s="45" t="s">
        <v>19</v>
      </c>
      <c r="C27" s="144">
        <v>21511072119</v>
      </c>
      <c r="D27" s="147" t="s">
        <v>10</v>
      </c>
      <c r="E27" s="148">
        <v>1000</v>
      </c>
      <c r="F27" s="153" t="s">
        <v>11</v>
      </c>
      <c r="G27" s="175">
        <v>1.4876060023</v>
      </c>
      <c r="H27" s="158" t="s">
        <v>12</v>
      </c>
      <c r="I27" s="162">
        <f>C27/E27*G27</f>
        <v>32000000.000132576</v>
      </c>
      <c r="J27" s="129">
        <v>20339539467</v>
      </c>
      <c r="K27" s="54" t="s">
        <v>10</v>
      </c>
      <c r="L27" s="55">
        <v>1000</v>
      </c>
      <c r="M27" s="55" t="s">
        <v>11</v>
      </c>
      <c r="N27" s="180">
        <v>1.4970840441</v>
      </c>
      <c r="O27" s="54" t="s">
        <v>12</v>
      </c>
      <c r="P27" s="57">
        <v>30450000.000387918</v>
      </c>
      <c r="Q27" s="193">
        <f t="shared" ref="Q27:Q50" si="13">C27-J27</f>
        <v>1171532652</v>
      </c>
      <c r="R27" s="194">
        <f t="shared" si="12"/>
        <v>-9.4780418000000033E-3</v>
      </c>
      <c r="S27" s="193">
        <f t="shared" ref="S27:S50" si="14">I27-P27</f>
        <v>1549999.9997446574</v>
      </c>
      <c r="T27" s="195">
        <f t="shared" si="5"/>
        <v>5.0903119859602997E-2</v>
      </c>
      <c r="U27" s="130"/>
    </row>
    <row r="28" spans="1:22" x14ac:dyDescent="0.25">
      <c r="A28" s="12" t="s">
        <v>35</v>
      </c>
      <c r="B28" s="45" t="s">
        <v>19</v>
      </c>
      <c r="C28" s="144">
        <v>21511072119</v>
      </c>
      <c r="D28" s="147" t="s">
        <v>10</v>
      </c>
      <c r="E28" s="148">
        <v>1000</v>
      </c>
      <c r="F28" s="153" t="s">
        <v>11</v>
      </c>
      <c r="G28" s="175">
        <v>0.32378674390000001</v>
      </c>
      <c r="H28" s="158" t="s">
        <v>12</v>
      </c>
      <c r="I28" s="162">
        <f t="shared" ref="I28:I50" si="15">C28/E28*G28</f>
        <v>6964999.9992090836</v>
      </c>
      <c r="J28" s="129">
        <v>20339539467</v>
      </c>
      <c r="K28" s="54" t="s">
        <v>10</v>
      </c>
      <c r="L28" s="55">
        <v>1000</v>
      </c>
      <c r="M28" s="55" t="s">
        <v>11</v>
      </c>
      <c r="N28" s="180">
        <v>0.19666128660000001</v>
      </c>
      <c r="O28" s="54" t="s">
        <v>12</v>
      </c>
      <c r="P28" s="57">
        <v>4000000.0004316987</v>
      </c>
      <c r="Q28" s="193">
        <f t="shared" si="13"/>
        <v>1171532652</v>
      </c>
      <c r="R28" s="194">
        <f t="shared" si="12"/>
        <v>0.12712545729999999</v>
      </c>
      <c r="S28" s="193">
        <f t="shared" si="14"/>
        <v>2964999.9987773849</v>
      </c>
      <c r="T28" s="195">
        <f>(I28-P28)/P28</f>
        <v>0.74124999961434701</v>
      </c>
      <c r="V28" s="130"/>
    </row>
    <row r="29" spans="1:22" x14ac:dyDescent="0.25">
      <c r="A29" s="29" t="s">
        <v>116</v>
      </c>
      <c r="B29" s="29" t="s">
        <v>19</v>
      </c>
      <c r="C29" s="143">
        <f>3541885+60393</f>
        <v>3602278</v>
      </c>
      <c r="D29" s="145" t="s">
        <v>10</v>
      </c>
      <c r="E29" s="146">
        <v>1000</v>
      </c>
      <c r="F29" s="152" t="s">
        <v>11</v>
      </c>
      <c r="G29" s="174">
        <v>2.5</v>
      </c>
      <c r="H29" s="157" t="s">
        <v>12</v>
      </c>
      <c r="I29" s="161">
        <f t="shared" si="15"/>
        <v>9005.6949999999997</v>
      </c>
      <c r="J29" s="128">
        <v>3355023</v>
      </c>
      <c r="K29" s="38" t="s">
        <v>10</v>
      </c>
      <c r="L29" s="39">
        <v>1000</v>
      </c>
      <c r="M29" s="39" t="s">
        <v>11</v>
      </c>
      <c r="N29" s="179">
        <v>1.5</v>
      </c>
      <c r="O29" s="38" t="s">
        <v>12</v>
      </c>
      <c r="P29" s="41">
        <v>5032.5344999999998</v>
      </c>
      <c r="Q29" s="190">
        <f t="shared" si="13"/>
        <v>247255</v>
      </c>
      <c r="R29" s="191">
        <f t="shared" si="12"/>
        <v>1</v>
      </c>
      <c r="S29" s="190">
        <f>I29-P29</f>
        <v>3973.1605</v>
      </c>
      <c r="T29" s="192">
        <f t="shared" si="5"/>
        <v>0.78949493540481441</v>
      </c>
    </row>
    <row r="30" spans="1:22" x14ac:dyDescent="0.25">
      <c r="A30" s="45" t="s">
        <v>117</v>
      </c>
      <c r="B30" s="45" t="s">
        <v>19</v>
      </c>
      <c r="C30" s="144">
        <f>1686757880+9059283</f>
        <v>1695817163</v>
      </c>
      <c r="D30" s="147" t="s">
        <v>10</v>
      </c>
      <c r="E30" s="148">
        <v>1000</v>
      </c>
      <c r="F30" s="153" t="s">
        <v>11</v>
      </c>
      <c r="G30" s="175">
        <v>1.4999871776</v>
      </c>
      <c r="H30" s="158" t="s">
        <v>12</v>
      </c>
      <c r="I30" s="162">
        <f>C30/E30*G30</f>
        <v>2543704.0000540093</v>
      </c>
      <c r="J30" s="129">
        <v>1585031393</v>
      </c>
      <c r="K30" s="54" t="s">
        <v>10</v>
      </c>
      <c r="L30" s="55">
        <v>1000</v>
      </c>
      <c r="M30" s="55" t="s">
        <v>11</v>
      </c>
      <c r="N30" s="180">
        <v>1.5</v>
      </c>
      <c r="O30" s="54" t="s">
        <v>12</v>
      </c>
      <c r="P30" s="57">
        <v>2377547.0894999998</v>
      </c>
      <c r="Q30" s="193">
        <f t="shared" si="13"/>
        <v>110785770</v>
      </c>
      <c r="R30" s="194">
        <f t="shared" si="12"/>
        <v>-1.2822400000001011E-5</v>
      </c>
      <c r="S30" s="193">
        <f t="shared" si="14"/>
        <v>166156.91055400949</v>
      </c>
      <c r="T30" s="195">
        <f t="shared" si="5"/>
        <v>6.9885854748286999E-2</v>
      </c>
    </row>
    <row r="31" spans="1:22" x14ac:dyDescent="0.25">
      <c r="A31" s="45" t="s">
        <v>38</v>
      </c>
      <c r="B31" s="45" t="s">
        <v>19</v>
      </c>
      <c r="C31" s="144">
        <f>1686757880+18118566</f>
        <v>1704876446</v>
      </c>
      <c r="D31" s="147" t="s">
        <v>10</v>
      </c>
      <c r="E31" s="148">
        <v>1000</v>
      </c>
      <c r="F31" s="153" t="s">
        <v>11</v>
      </c>
      <c r="G31" s="175">
        <v>1.9013694556</v>
      </c>
      <c r="H31" s="158" t="s">
        <v>12</v>
      </c>
      <c r="I31" s="162">
        <f t="shared" si="15"/>
        <v>3241599.9999962826</v>
      </c>
      <c r="J31" s="129">
        <v>1591205830</v>
      </c>
      <c r="K31" s="54" t="s">
        <v>10</v>
      </c>
      <c r="L31" s="55">
        <v>1000</v>
      </c>
      <c r="M31" s="55" t="s">
        <v>11</v>
      </c>
      <c r="N31" s="180">
        <v>1.9792222606000001</v>
      </c>
      <c r="O31" s="54" t="s">
        <v>12</v>
      </c>
      <c r="P31" s="57">
        <v>3149349.9999324996</v>
      </c>
      <c r="Q31" s="193">
        <f t="shared" si="13"/>
        <v>113670616</v>
      </c>
      <c r="R31" s="194">
        <f t="shared" si="12"/>
        <v>-7.7852805000000025E-2</v>
      </c>
      <c r="S31" s="193">
        <f t="shared" si="14"/>
        <v>92250.000063783024</v>
      </c>
      <c r="T31" s="195">
        <f t="shared" si="5"/>
        <v>2.929175863773802E-2</v>
      </c>
      <c r="U31" s="130"/>
      <c r="V31" s="130"/>
    </row>
    <row r="32" spans="1:22" x14ac:dyDescent="0.25">
      <c r="A32" s="29" t="s">
        <v>118</v>
      </c>
      <c r="B32" s="29" t="s">
        <v>19</v>
      </c>
      <c r="C32" s="143">
        <f>1331669378+1987859</f>
        <v>1333657237</v>
      </c>
      <c r="D32" s="145" t="s">
        <v>10</v>
      </c>
      <c r="E32" s="146">
        <v>1000</v>
      </c>
      <c r="F32" s="152" t="s">
        <v>11</v>
      </c>
      <c r="G32" s="174">
        <v>1.507201359</v>
      </c>
      <c r="H32" s="157" t="s">
        <v>12</v>
      </c>
      <c r="I32" s="161">
        <f>C32/E32*G32</f>
        <v>2010090.000046585</v>
      </c>
      <c r="J32" s="128">
        <v>1279578804</v>
      </c>
      <c r="K32" s="38" t="s">
        <v>10</v>
      </c>
      <c r="L32" s="39">
        <v>1000</v>
      </c>
      <c r="M32" s="39" t="s">
        <v>11</v>
      </c>
      <c r="N32" s="179">
        <v>1.5</v>
      </c>
      <c r="O32" s="38" t="s">
        <v>12</v>
      </c>
      <c r="P32" s="41">
        <v>1919368.206</v>
      </c>
      <c r="Q32" s="190">
        <f>C32-J32</f>
        <v>54078433</v>
      </c>
      <c r="R32" s="191">
        <f t="shared" si="12"/>
        <v>7.2013589999999628E-3</v>
      </c>
      <c r="S32" s="190">
        <f t="shared" si="14"/>
        <v>90721.794046584982</v>
      </c>
      <c r="T32" s="192">
        <f t="shared" si="5"/>
        <v>4.7266487880223321E-2</v>
      </c>
      <c r="V32" s="130"/>
    </row>
    <row r="33" spans="1:22" x14ac:dyDescent="0.25">
      <c r="A33" s="29" t="s">
        <v>41</v>
      </c>
      <c r="B33" s="29" t="s">
        <v>19</v>
      </c>
      <c r="C33" s="143">
        <f>1331669378+3975719</f>
        <v>1335645097</v>
      </c>
      <c r="D33" s="145" t="s">
        <v>10</v>
      </c>
      <c r="E33" s="146">
        <v>1000</v>
      </c>
      <c r="F33" s="152" t="s">
        <v>11</v>
      </c>
      <c r="G33" s="174">
        <v>2.9064607122999999</v>
      </c>
      <c r="H33" s="157" t="s">
        <v>12</v>
      </c>
      <c r="I33" s="161">
        <f t="shared" si="15"/>
        <v>3882000.0000066226</v>
      </c>
      <c r="J33" s="128">
        <v>1280814498</v>
      </c>
      <c r="K33" s="38" t="s">
        <v>10</v>
      </c>
      <c r="L33" s="39">
        <v>1000</v>
      </c>
      <c r="M33" s="39" t="s">
        <v>11</v>
      </c>
      <c r="N33" s="179">
        <v>2.9473432771999999</v>
      </c>
      <c r="O33" s="38" t="s">
        <v>12</v>
      </c>
      <c r="P33" s="41">
        <v>3775000.0000205925</v>
      </c>
      <c r="Q33" s="190">
        <f t="shared" si="13"/>
        <v>54830599</v>
      </c>
      <c r="R33" s="191">
        <f t="shared" si="12"/>
        <v>-4.0882564899999974E-2</v>
      </c>
      <c r="S33" s="190">
        <f t="shared" si="14"/>
        <v>106999.99998603016</v>
      </c>
      <c r="T33" s="192">
        <f t="shared" si="5"/>
        <v>2.8344370857071914E-2</v>
      </c>
      <c r="V33" s="130"/>
    </row>
    <row r="34" spans="1:22" x14ac:dyDescent="0.25">
      <c r="A34" s="45" t="s">
        <v>119</v>
      </c>
      <c r="B34" s="45" t="s">
        <v>19</v>
      </c>
      <c r="C34" s="144">
        <f>221362731+394320</f>
        <v>221757051</v>
      </c>
      <c r="D34" s="147" t="s">
        <v>10</v>
      </c>
      <c r="E34" s="148">
        <v>1000</v>
      </c>
      <c r="F34" s="153" t="s">
        <v>11</v>
      </c>
      <c r="G34" s="175">
        <v>2.3700315306999999</v>
      </c>
      <c r="H34" s="158" t="s">
        <v>12</v>
      </c>
      <c r="I34" s="162">
        <f t="shared" si="15"/>
        <v>525571.20302504802</v>
      </c>
      <c r="J34" s="129">
        <v>222460872</v>
      </c>
      <c r="K34" s="54" t="s">
        <v>10</v>
      </c>
      <c r="L34" s="55">
        <v>1000</v>
      </c>
      <c r="M34" s="55" t="s">
        <v>11</v>
      </c>
      <c r="N34" s="180">
        <v>1.5</v>
      </c>
      <c r="O34" s="54" t="s">
        <v>12</v>
      </c>
      <c r="P34" s="57">
        <v>333691.30800000002</v>
      </c>
      <c r="Q34" s="193">
        <f t="shared" si="13"/>
        <v>-703821</v>
      </c>
      <c r="R34" s="194">
        <f t="shared" si="12"/>
        <v>0.87003153069999994</v>
      </c>
      <c r="S34" s="193">
        <f t="shared" si="14"/>
        <v>191879.895025048</v>
      </c>
      <c r="T34" s="195">
        <f t="shared" si="5"/>
        <v>0.57502215498237663</v>
      </c>
      <c r="V34" s="115"/>
    </row>
    <row r="35" spans="1:22" x14ac:dyDescent="0.25">
      <c r="A35" s="45" t="s">
        <v>43</v>
      </c>
      <c r="B35" s="45" t="s">
        <v>19</v>
      </c>
      <c r="C35" s="144">
        <f>221362731+788640</f>
        <v>222151371</v>
      </c>
      <c r="D35" s="147" t="s">
        <v>10</v>
      </c>
      <c r="E35" s="148">
        <v>1000</v>
      </c>
      <c r="F35" s="153" t="s">
        <v>11</v>
      </c>
      <c r="G35" s="175">
        <v>1.5298240894999999</v>
      </c>
      <c r="H35" s="158" t="s">
        <v>12</v>
      </c>
      <c r="I35" s="162">
        <f t="shared" si="15"/>
        <v>339852.51887125173</v>
      </c>
      <c r="J35" s="129">
        <v>222671935</v>
      </c>
      <c r="K35" s="54" t="s">
        <v>10</v>
      </c>
      <c r="L35" s="55">
        <v>1000</v>
      </c>
      <c r="M35" s="55" t="s">
        <v>11</v>
      </c>
      <c r="N35" s="180">
        <v>1.6334971570000001</v>
      </c>
      <c r="O35" s="54" t="s">
        <v>12</v>
      </c>
      <c r="P35" s="57">
        <v>363733.97276618879</v>
      </c>
      <c r="Q35" s="193">
        <f t="shared" si="13"/>
        <v>-520564</v>
      </c>
      <c r="R35" s="194">
        <f t="shared" si="12"/>
        <v>-0.10367306750000016</v>
      </c>
      <c r="S35" s="193">
        <f t="shared" si="14"/>
        <v>-23881.453894937062</v>
      </c>
      <c r="T35" s="195">
        <f t="shared" si="5"/>
        <v>-6.5656374391754327E-2</v>
      </c>
      <c r="V35" s="112"/>
    </row>
    <row r="36" spans="1:22" x14ac:dyDescent="0.25">
      <c r="A36" s="29" t="s">
        <v>120</v>
      </c>
      <c r="B36" s="29" t="s">
        <v>19</v>
      </c>
      <c r="C36" s="143">
        <f>191246138+5813162</f>
        <v>197059300</v>
      </c>
      <c r="D36" s="145" t="s">
        <v>10</v>
      </c>
      <c r="E36" s="146">
        <v>1000</v>
      </c>
      <c r="F36" s="152" t="s">
        <v>11</v>
      </c>
      <c r="G36" s="174">
        <v>1.6296059105</v>
      </c>
      <c r="H36" s="157" t="s">
        <v>12</v>
      </c>
      <c r="I36" s="161">
        <f>C36/E36*G36</f>
        <v>321128.99999899266</v>
      </c>
      <c r="J36" s="128">
        <v>191775233</v>
      </c>
      <c r="K36" s="39" t="s">
        <v>10</v>
      </c>
      <c r="L36" s="39">
        <v>1000</v>
      </c>
      <c r="M36" s="39" t="s">
        <v>11</v>
      </c>
      <c r="N36" s="179">
        <v>1.5</v>
      </c>
      <c r="O36" s="38" t="s">
        <v>12</v>
      </c>
      <c r="P36" s="41">
        <v>287662.84950000001</v>
      </c>
      <c r="Q36" s="190">
        <f t="shared" si="13"/>
        <v>5284067</v>
      </c>
      <c r="R36" s="191">
        <f t="shared" si="12"/>
        <v>0.12960591050000003</v>
      </c>
      <c r="S36" s="190">
        <f t="shared" si="14"/>
        <v>33466.150498992647</v>
      </c>
      <c r="T36" s="192">
        <f t="shared" si="5"/>
        <v>0.11633810398931144</v>
      </c>
    </row>
    <row r="37" spans="1:22" x14ac:dyDescent="0.25">
      <c r="A37" s="29" t="s">
        <v>46</v>
      </c>
      <c r="B37" s="29" t="s">
        <v>19</v>
      </c>
      <c r="C37" s="143">
        <f>191246138+11626323</f>
        <v>202872461</v>
      </c>
      <c r="D37" s="145" t="s">
        <v>10</v>
      </c>
      <c r="E37" s="146">
        <v>1000</v>
      </c>
      <c r="F37" s="152" t="s">
        <v>11</v>
      </c>
      <c r="G37" s="174">
        <v>1.2323013127</v>
      </c>
      <c r="H37" s="157" t="s">
        <v>12</v>
      </c>
      <c r="I37" s="161">
        <f>C37/E37*G37</f>
        <v>250000.00000097958</v>
      </c>
      <c r="J37" s="128">
        <v>196879096</v>
      </c>
      <c r="K37" s="39" t="s">
        <v>10</v>
      </c>
      <c r="L37" s="39">
        <v>1000</v>
      </c>
      <c r="M37" s="39" t="s">
        <v>11</v>
      </c>
      <c r="N37" s="179">
        <v>1.2698148512</v>
      </c>
      <c r="O37" s="38" t="s">
        <v>12</v>
      </c>
      <c r="P37" s="41">
        <v>249999.99999163052</v>
      </c>
      <c r="Q37" s="190">
        <f t="shared" si="13"/>
        <v>5993365</v>
      </c>
      <c r="R37" s="191">
        <f t="shared" si="12"/>
        <v>-3.7513538500000054E-2</v>
      </c>
      <c r="S37" s="190">
        <f t="shared" si="14"/>
        <v>9.3490525614470243E-6</v>
      </c>
      <c r="T37" s="192">
        <f>(I37-P37)/P37</f>
        <v>3.7396210247040047E-11</v>
      </c>
    </row>
    <row r="38" spans="1:22" x14ac:dyDescent="0.25">
      <c r="A38" s="45" t="s">
        <v>121</v>
      </c>
      <c r="B38" s="45" t="s">
        <v>19</v>
      </c>
      <c r="C38" s="144">
        <f>2819104821+2479863</f>
        <v>2821584684</v>
      </c>
      <c r="D38" s="147" t="s">
        <v>10</v>
      </c>
      <c r="E38" s="148">
        <v>1000</v>
      </c>
      <c r="F38" s="153" t="s">
        <v>11</v>
      </c>
      <c r="G38" s="175">
        <v>1.9834535578000001</v>
      </c>
      <c r="H38" s="158" t="s">
        <v>12</v>
      </c>
      <c r="I38" s="162">
        <f>C38/E38*G38</f>
        <v>5596482.1801137887</v>
      </c>
      <c r="J38" s="129">
        <v>2645875958</v>
      </c>
      <c r="K38" s="54" t="s">
        <v>10</v>
      </c>
      <c r="L38" s="55">
        <v>1000</v>
      </c>
      <c r="M38" s="55" t="s">
        <v>11</v>
      </c>
      <c r="N38" s="180">
        <v>1.5</v>
      </c>
      <c r="O38" s="54" t="s">
        <v>12</v>
      </c>
      <c r="P38" s="57">
        <v>3968813.9369999999</v>
      </c>
      <c r="Q38" s="193">
        <f t="shared" si="13"/>
        <v>175708726</v>
      </c>
      <c r="R38" s="194">
        <f t="shared" si="12"/>
        <v>0.4834535578000001</v>
      </c>
      <c r="S38" s="193">
        <f t="shared" si="14"/>
        <v>1627668.2431137888</v>
      </c>
      <c r="T38" s="197">
        <f t="shared" si="5"/>
        <v>0.41011452513294999</v>
      </c>
      <c r="V38" s="130"/>
    </row>
    <row r="39" spans="1:22" x14ac:dyDescent="0.25">
      <c r="A39" s="45" t="s">
        <v>48</v>
      </c>
      <c r="B39" s="45" t="s">
        <v>19</v>
      </c>
      <c r="C39" s="144">
        <f>2819104821+4959727</f>
        <v>2824064548</v>
      </c>
      <c r="D39" s="147" t="s">
        <v>10</v>
      </c>
      <c r="E39" s="148">
        <v>1000</v>
      </c>
      <c r="F39" s="153" t="s">
        <v>11</v>
      </c>
      <c r="G39" s="175">
        <v>1.862157582</v>
      </c>
      <c r="H39" s="158" t="s">
        <v>12</v>
      </c>
      <c r="I39" s="162">
        <f t="shared" si="15"/>
        <v>5258853.2101156032</v>
      </c>
      <c r="J39" s="129">
        <v>2647551314</v>
      </c>
      <c r="K39" s="55" t="s">
        <v>10</v>
      </c>
      <c r="L39" s="55">
        <v>1000</v>
      </c>
      <c r="M39" s="55" t="s">
        <v>11</v>
      </c>
      <c r="N39" s="183">
        <v>1.9096826805</v>
      </c>
      <c r="O39" s="54" t="s">
        <v>12</v>
      </c>
      <c r="P39" s="57">
        <v>5055982.890080817</v>
      </c>
      <c r="Q39" s="193">
        <f t="shared" si="13"/>
        <v>176513234</v>
      </c>
      <c r="R39" s="194">
        <f t="shared" si="12"/>
        <v>-4.7525098499999974E-2</v>
      </c>
      <c r="S39" s="193">
        <f t="shared" si="14"/>
        <v>202870.32003478613</v>
      </c>
      <c r="T39" s="195">
        <f t="shared" si="5"/>
        <v>4.0124803514029167E-2</v>
      </c>
      <c r="V39" s="115"/>
    </row>
    <row r="40" spans="1:22" x14ac:dyDescent="0.25">
      <c r="A40" s="45" t="s">
        <v>49</v>
      </c>
      <c r="B40" s="45" t="s">
        <v>19</v>
      </c>
      <c r="C40" s="144">
        <f>2819104821+4959727</f>
        <v>2824064548</v>
      </c>
      <c r="D40" s="147" t="s">
        <v>10</v>
      </c>
      <c r="E40" s="148">
        <v>1000</v>
      </c>
      <c r="F40" s="153" t="s">
        <v>11</v>
      </c>
      <c r="G40" s="175">
        <v>0.25343887430000001</v>
      </c>
      <c r="H40" s="158" t="s">
        <v>12</v>
      </c>
      <c r="I40" s="162">
        <f t="shared" si="15"/>
        <v>715727.73999565828</v>
      </c>
      <c r="J40" s="129">
        <v>2647551314</v>
      </c>
      <c r="K40" s="54" t="s">
        <v>10</v>
      </c>
      <c r="L40" s="55">
        <v>1000</v>
      </c>
      <c r="M40" s="55" t="s">
        <v>11</v>
      </c>
      <c r="N40" s="180">
        <v>0.2634045075</v>
      </c>
      <c r="O40" s="54" t="s">
        <v>12</v>
      </c>
      <c r="P40" s="57">
        <v>697376.94994514773</v>
      </c>
      <c r="Q40" s="193">
        <f t="shared" si="13"/>
        <v>176513234</v>
      </c>
      <c r="R40" s="194">
        <f t="shared" si="12"/>
        <v>-9.9656331999999903E-3</v>
      </c>
      <c r="S40" s="193">
        <f t="shared" si="14"/>
        <v>18350.79005051055</v>
      </c>
      <c r="T40" s="195">
        <f t="shared" si="5"/>
        <v>2.6314018626445761E-2</v>
      </c>
    </row>
    <row r="41" spans="1:22" x14ac:dyDescent="0.25">
      <c r="A41" s="29" t="s">
        <v>122</v>
      </c>
      <c r="B41" s="29" t="s">
        <v>19</v>
      </c>
      <c r="C41" s="143">
        <f>19438953941+228279</f>
        <v>19439182220</v>
      </c>
      <c r="D41" s="145" t="s">
        <v>10</v>
      </c>
      <c r="E41" s="146">
        <v>1000</v>
      </c>
      <c r="F41" s="152" t="s">
        <v>11</v>
      </c>
      <c r="G41" s="174">
        <v>1.6435876591</v>
      </c>
      <c r="H41" s="157" t="s">
        <v>12</v>
      </c>
      <c r="I41" s="161">
        <f>C41/E41*G41</f>
        <v>31949999.999788139</v>
      </c>
      <c r="J41" s="128">
        <v>18119240260</v>
      </c>
      <c r="K41" s="39" t="s">
        <v>10</v>
      </c>
      <c r="L41" s="39">
        <v>1000</v>
      </c>
      <c r="M41" s="39" t="s">
        <v>11</v>
      </c>
      <c r="N41" s="179">
        <v>1.5</v>
      </c>
      <c r="O41" s="38" t="s">
        <v>12</v>
      </c>
      <c r="P41" s="41">
        <v>27178860.390000001</v>
      </c>
      <c r="Q41" s="190">
        <f t="shared" si="13"/>
        <v>1319941960</v>
      </c>
      <c r="R41" s="191">
        <f t="shared" si="12"/>
        <v>0.14358765910000004</v>
      </c>
      <c r="S41" s="190">
        <f t="shared" si="14"/>
        <v>4771139.6097881384</v>
      </c>
      <c r="T41" s="192">
        <f t="shared" si="5"/>
        <v>0.17554597732668725</v>
      </c>
    </row>
    <row r="42" spans="1:22" x14ac:dyDescent="0.25">
      <c r="A42" s="118" t="s">
        <v>127</v>
      </c>
      <c r="B42" s="118" t="s">
        <v>19</v>
      </c>
      <c r="C42" s="143">
        <f>19438953941+456558</f>
        <v>19439410499</v>
      </c>
      <c r="D42" s="145" t="s">
        <v>10</v>
      </c>
      <c r="E42" s="146">
        <v>1000</v>
      </c>
      <c r="F42" s="152" t="s">
        <v>11</v>
      </c>
      <c r="G42" s="174">
        <v>0.40155538670000002</v>
      </c>
      <c r="H42" s="157" t="s">
        <v>12</v>
      </c>
      <c r="I42" s="161">
        <f>C42/E42*G42</f>
        <v>7806000.0001459857</v>
      </c>
      <c r="J42" s="128"/>
      <c r="K42" s="39"/>
      <c r="L42" s="39"/>
      <c r="M42" s="39"/>
      <c r="N42" s="179"/>
      <c r="O42" s="38"/>
      <c r="P42" s="41"/>
      <c r="Q42" s="190">
        <f t="shared" ref="Q42" si="16">C42-J42</f>
        <v>19439410499</v>
      </c>
      <c r="R42" s="191">
        <f t="shared" ref="R42" si="17">G42-N42</f>
        <v>0.40155538670000002</v>
      </c>
      <c r="S42" s="190">
        <f t="shared" ref="S42" si="18">I42-P42</f>
        <v>7806000.0001459857</v>
      </c>
      <c r="T42" s="188" t="s">
        <v>101</v>
      </c>
    </row>
    <row r="43" spans="1:22" x14ac:dyDescent="0.25">
      <c r="A43" s="29" t="s">
        <v>51</v>
      </c>
      <c r="B43" s="29" t="s">
        <v>19</v>
      </c>
      <c r="C43" s="143">
        <f>19438953941+456558</f>
        <v>19439410499</v>
      </c>
      <c r="D43" s="145" t="s">
        <v>10</v>
      </c>
      <c r="E43" s="146">
        <v>1000</v>
      </c>
      <c r="F43" s="152" t="s">
        <v>11</v>
      </c>
      <c r="G43" s="174">
        <v>1.7438800421</v>
      </c>
      <c r="H43" s="157" t="s">
        <v>12</v>
      </c>
      <c r="I43" s="161">
        <f t="shared" si="15"/>
        <v>33899999.999395303</v>
      </c>
      <c r="J43" s="128">
        <v>18119329230</v>
      </c>
      <c r="K43" s="38" t="s">
        <v>10</v>
      </c>
      <c r="L43" s="39">
        <v>1000</v>
      </c>
      <c r="M43" s="39" t="s">
        <v>11</v>
      </c>
      <c r="N43" s="179">
        <v>1.7384749513</v>
      </c>
      <c r="O43" s="38" t="s">
        <v>12</v>
      </c>
      <c r="P43" s="41">
        <v>31500000.000712916</v>
      </c>
      <c r="Q43" s="190">
        <f t="shared" si="13"/>
        <v>1320081269</v>
      </c>
      <c r="R43" s="191">
        <f t="shared" si="12"/>
        <v>5.4050908000000675E-3</v>
      </c>
      <c r="S43" s="190">
        <f t="shared" si="14"/>
        <v>2399999.9986823872</v>
      </c>
      <c r="T43" s="192">
        <f t="shared" si="5"/>
        <v>7.6190476146922856E-2</v>
      </c>
    </row>
    <row r="44" spans="1:22" x14ac:dyDescent="0.25">
      <c r="A44" s="45" t="s">
        <v>123</v>
      </c>
      <c r="B44" s="45" t="s">
        <v>19</v>
      </c>
      <c r="C44" s="144">
        <f>6370649607+6938422</f>
        <v>6377588029</v>
      </c>
      <c r="D44" s="147" t="s">
        <v>10</v>
      </c>
      <c r="E44" s="148">
        <v>1000</v>
      </c>
      <c r="F44" s="153" t="s">
        <v>11</v>
      </c>
      <c r="G44" s="175">
        <v>2.1499510375000002</v>
      </c>
      <c r="H44" s="158" t="s">
        <v>12</v>
      </c>
      <c r="I44" s="162">
        <f>C44/E44*G44</f>
        <v>13711501.999696132</v>
      </c>
      <c r="J44" s="129">
        <v>6062219212</v>
      </c>
      <c r="K44" s="54" t="s">
        <v>10</v>
      </c>
      <c r="L44" s="55">
        <v>1000</v>
      </c>
      <c r="M44" s="55" t="s">
        <v>11</v>
      </c>
      <c r="N44" s="180">
        <v>1.5</v>
      </c>
      <c r="O44" s="54" t="s">
        <v>12</v>
      </c>
      <c r="P44" s="57">
        <v>9093328.818</v>
      </c>
      <c r="Q44" s="193">
        <f t="shared" si="13"/>
        <v>315368817</v>
      </c>
      <c r="R44" s="194">
        <f t="shared" si="12"/>
        <v>0.64995103750000016</v>
      </c>
      <c r="S44" s="193">
        <f t="shared" si="14"/>
        <v>4618173.1816961318</v>
      </c>
      <c r="T44" s="197">
        <f t="shared" si="5"/>
        <v>0.50786387186995618</v>
      </c>
    </row>
    <row r="45" spans="1:22" x14ac:dyDescent="0.25">
      <c r="A45" s="45" t="s">
        <v>53</v>
      </c>
      <c r="B45" s="45" t="s">
        <v>19</v>
      </c>
      <c r="C45" s="144">
        <f>6370649607+13876843</f>
        <v>6384526450</v>
      </c>
      <c r="D45" s="147" t="s">
        <v>10</v>
      </c>
      <c r="E45" s="148">
        <v>1000</v>
      </c>
      <c r="F45" s="153" t="s">
        <v>11</v>
      </c>
      <c r="G45" s="175">
        <v>3.1325737557000002</v>
      </c>
      <c r="H45" s="158" t="s">
        <v>12</v>
      </c>
      <c r="I45" s="162">
        <f>C45/E45*G45</f>
        <v>19999999.999842491</v>
      </c>
      <c r="J45" s="129">
        <v>6066917960</v>
      </c>
      <c r="K45" s="55" t="s">
        <v>10</v>
      </c>
      <c r="L45" s="55">
        <v>1000</v>
      </c>
      <c r="M45" s="55" t="s">
        <v>11</v>
      </c>
      <c r="N45" s="183">
        <v>3.2422450953999999</v>
      </c>
      <c r="O45" s="54" t="s">
        <v>12</v>
      </c>
      <c r="P45" s="57">
        <v>19670435.000004172</v>
      </c>
      <c r="Q45" s="193">
        <f t="shared" si="13"/>
        <v>317608490</v>
      </c>
      <c r="R45" s="194">
        <f t="shared" si="12"/>
        <v>-0.10967133969999976</v>
      </c>
      <c r="S45" s="193">
        <f t="shared" si="14"/>
        <v>329564.99983831868</v>
      </c>
      <c r="T45" s="195">
        <f t="shared" si="5"/>
        <v>1.6754332064250168E-2</v>
      </c>
    </row>
    <row r="46" spans="1:22" x14ac:dyDescent="0.25">
      <c r="A46" s="45" t="s">
        <v>54</v>
      </c>
      <c r="B46" s="45" t="s">
        <v>19</v>
      </c>
      <c r="C46" s="144">
        <f>6370649607+13876843</f>
        <v>6384526450</v>
      </c>
      <c r="D46" s="147" t="s">
        <v>10</v>
      </c>
      <c r="E46" s="148">
        <v>1000</v>
      </c>
      <c r="F46" s="153" t="s">
        <v>11</v>
      </c>
      <c r="G46" s="175">
        <v>0.28193163799999998</v>
      </c>
      <c r="H46" s="158" t="s">
        <v>12</v>
      </c>
      <c r="I46" s="162">
        <f t="shared" si="15"/>
        <v>1799999.9999028251</v>
      </c>
      <c r="J46" s="129">
        <v>6066917960</v>
      </c>
      <c r="K46" s="55" t="s">
        <v>10</v>
      </c>
      <c r="L46" s="55">
        <v>1000</v>
      </c>
      <c r="M46" s="55" t="s">
        <v>11</v>
      </c>
      <c r="N46" s="183">
        <v>0.2884495903</v>
      </c>
      <c r="O46" s="54" t="s">
        <v>12</v>
      </c>
      <c r="P46" s="57">
        <v>1749999.9999457118</v>
      </c>
      <c r="Q46" s="193">
        <f t="shared" si="13"/>
        <v>317608490</v>
      </c>
      <c r="R46" s="194">
        <f t="shared" si="12"/>
        <v>-6.5179523000000184E-3</v>
      </c>
      <c r="S46" s="193">
        <f t="shared" si="14"/>
        <v>49999.999957113294</v>
      </c>
      <c r="T46" s="195">
        <f t="shared" si="5"/>
        <v>2.8571428547808218E-2</v>
      </c>
    </row>
    <row r="47" spans="1:22" x14ac:dyDescent="0.25">
      <c r="A47" s="29" t="s">
        <v>124</v>
      </c>
      <c r="B47" s="29" t="s">
        <v>19</v>
      </c>
      <c r="C47" s="143">
        <f>11269051655+54268507</f>
        <v>11323320162</v>
      </c>
      <c r="D47" s="145" t="s">
        <v>10</v>
      </c>
      <c r="E47" s="146">
        <v>1000</v>
      </c>
      <c r="F47" s="152" t="s">
        <v>11</v>
      </c>
      <c r="G47" s="174">
        <v>2.5</v>
      </c>
      <c r="H47" s="157" t="s">
        <v>12</v>
      </c>
      <c r="I47" s="161">
        <f>C47/E47*G47</f>
        <v>28308300.405000001</v>
      </c>
      <c r="J47" s="128">
        <v>10599887243</v>
      </c>
      <c r="K47" s="38" t="s">
        <v>10</v>
      </c>
      <c r="L47" s="39">
        <v>1000</v>
      </c>
      <c r="M47" s="39" t="s">
        <v>11</v>
      </c>
      <c r="N47" s="179">
        <v>1.5</v>
      </c>
      <c r="O47" s="38" t="s">
        <v>12</v>
      </c>
      <c r="P47" s="41">
        <v>15899830.864500001</v>
      </c>
      <c r="Q47" s="190">
        <f t="shared" si="13"/>
        <v>723432919</v>
      </c>
      <c r="R47" s="191">
        <f t="shared" si="12"/>
        <v>1</v>
      </c>
      <c r="S47" s="190">
        <f>I47-P47</f>
        <v>12408469.5405</v>
      </c>
      <c r="T47" s="197">
        <f t="shared" si="5"/>
        <v>0.78041519096940448</v>
      </c>
    </row>
    <row r="48" spans="1:22" x14ac:dyDescent="0.25">
      <c r="A48" s="29" t="s">
        <v>56</v>
      </c>
      <c r="B48" s="29" t="s">
        <v>19</v>
      </c>
      <c r="C48" s="143">
        <f>11269051655+108537013</f>
        <v>11377588668</v>
      </c>
      <c r="D48" s="145" t="s">
        <v>10</v>
      </c>
      <c r="E48" s="146">
        <v>1000</v>
      </c>
      <c r="F48" s="152" t="s">
        <v>11</v>
      </c>
      <c r="G48" s="174">
        <v>0.5838934939</v>
      </c>
      <c r="H48" s="157" t="s">
        <v>12</v>
      </c>
      <c r="I48" s="161">
        <f t="shared" si="15"/>
        <v>6643299.999515567</v>
      </c>
      <c r="J48" s="128">
        <v>10636712944</v>
      </c>
      <c r="K48" s="38" t="s">
        <v>10</v>
      </c>
      <c r="L48" s="39">
        <v>1000</v>
      </c>
      <c r="M48" s="39" t="s">
        <v>11</v>
      </c>
      <c r="N48" s="179">
        <v>0.6059437755</v>
      </c>
      <c r="O48" s="38" t="s">
        <v>12</v>
      </c>
      <c r="P48" s="41">
        <v>6445250.00019708</v>
      </c>
      <c r="Q48" s="190">
        <f t="shared" si="13"/>
        <v>740875724</v>
      </c>
      <c r="R48" s="191">
        <f t="shared" si="12"/>
        <v>-2.2050281599999999E-2</v>
      </c>
      <c r="S48" s="190">
        <f t="shared" si="14"/>
        <v>198049.99931848701</v>
      </c>
      <c r="T48" s="192">
        <f t="shared" si="5"/>
        <v>3.0728055438102652E-2</v>
      </c>
    </row>
    <row r="49" spans="1:20" x14ac:dyDescent="0.25">
      <c r="A49" s="45" t="s">
        <v>125</v>
      </c>
      <c r="B49" s="45" t="s">
        <v>19</v>
      </c>
      <c r="C49" s="144">
        <f>3866111076+489712</f>
        <v>3866600788</v>
      </c>
      <c r="D49" s="147" t="s">
        <v>10</v>
      </c>
      <c r="E49" s="148">
        <v>1000</v>
      </c>
      <c r="F49" s="153" t="s">
        <v>11</v>
      </c>
      <c r="G49" s="175">
        <v>1.4996916718</v>
      </c>
      <c r="H49" s="158" t="s">
        <v>12</v>
      </c>
      <c r="I49" s="162">
        <f>C49/E49*G49</f>
        <v>5798708.9999389173</v>
      </c>
      <c r="J49" s="129">
        <v>3459003443</v>
      </c>
      <c r="K49" s="54" t="s">
        <v>10</v>
      </c>
      <c r="L49" s="55">
        <v>1000</v>
      </c>
      <c r="M49" s="55" t="s">
        <v>11</v>
      </c>
      <c r="N49" s="180">
        <v>1.5</v>
      </c>
      <c r="O49" s="54" t="s">
        <v>12</v>
      </c>
      <c r="P49" s="57">
        <v>5188505.1645</v>
      </c>
      <c r="Q49" s="193">
        <f t="shared" si="13"/>
        <v>407597345</v>
      </c>
      <c r="R49" s="194">
        <f t="shared" si="12"/>
        <v>-3.0832820000004091E-4</v>
      </c>
      <c r="S49" s="193">
        <f t="shared" si="14"/>
        <v>610203.83543891739</v>
      </c>
      <c r="T49" s="195">
        <f t="shared" si="5"/>
        <v>0.1176068667357144</v>
      </c>
    </row>
    <row r="50" spans="1:20" ht="15.75" thickBot="1" x14ac:dyDescent="0.3">
      <c r="A50" s="45" t="s">
        <v>58</v>
      </c>
      <c r="B50" s="45" t="s">
        <v>19</v>
      </c>
      <c r="C50" s="144">
        <f>3866111076+979424</f>
        <v>3867090500</v>
      </c>
      <c r="D50" s="147" t="s">
        <v>10</v>
      </c>
      <c r="E50" s="148">
        <v>1000</v>
      </c>
      <c r="F50" s="153" t="s">
        <v>11</v>
      </c>
      <c r="G50" s="175">
        <v>1.8489352654</v>
      </c>
      <c r="H50" s="158" t="s">
        <v>12</v>
      </c>
      <c r="I50" s="162">
        <f t="shared" si="15"/>
        <v>7149999.9999433188</v>
      </c>
      <c r="J50" s="129">
        <v>3459253923</v>
      </c>
      <c r="K50" s="54" t="s">
        <v>10</v>
      </c>
      <c r="L50" s="55">
        <v>1000</v>
      </c>
      <c r="M50" s="55" t="s">
        <v>11</v>
      </c>
      <c r="N50" s="180">
        <v>1.9512878065999999</v>
      </c>
      <c r="O50" s="54" t="s">
        <v>12</v>
      </c>
      <c r="P50" s="57">
        <v>6749999.9998831153</v>
      </c>
      <c r="Q50" s="193">
        <f t="shared" si="13"/>
        <v>407836577</v>
      </c>
      <c r="R50" s="194">
        <f t="shared" si="12"/>
        <v>-0.10235254119999992</v>
      </c>
      <c r="S50" s="193">
        <f t="shared" si="14"/>
        <v>400000.00006020349</v>
      </c>
      <c r="T50" s="195">
        <f t="shared" si="5"/>
        <v>5.9259259269204445E-2</v>
      </c>
    </row>
    <row r="51" spans="1:20" ht="15.75" thickBot="1" x14ac:dyDescent="0.3">
      <c r="A51" s="78" t="s">
        <v>59</v>
      </c>
      <c r="B51" s="79"/>
      <c r="C51" s="142"/>
      <c r="D51" s="149"/>
      <c r="E51" s="150"/>
      <c r="F51" s="154"/>
      <c r="G51" s="176"/>
      <c r="H51" s="159"/>
      <c r="I51" s="159"/>
      <c r="J51" s="80"/>
      <c r="K51" s="80"/>
      <c r="L51" s="80"/>
      <c r="M51" s="80"/>
      <c r="N51" s="181"/>
      <c r="O51" s="80"/>
      <c r="P51" s="80"/>
      <c r="Q51" s="86"/>
      <c r="R51" s="86"/>
      <c r="S51" s="86"/>
      <c r="T51" s="187"/>
    </row>
    <row r="52" spans="1:20" x14ac:dyDescent="0.25">
      <c r="A52" s="29" t="s">
        <v>61</v>
      </c>
      <c r="B52" s="29" t="s">
        <v>9</v>
      </c>
      <c r="C52" s="143">
        <v>3401276664</v>
      </c>
      <c r="D52" s="145" t="s">
        <v>10</v>
      </c>
      <c r="E52" s="146">
        <v>1000</v>
      </c>
      <c r="F52" s="152" t="s">
        <v>11</v>
      </c>
      <c r="G52" s="174">
        <v>1.4021179135999999</v>
      </c>
      <c r="H52" s="157" t="s">
        <v>12</v>
      </c>
      <c r="I52" s="161">
        <f t="shared" ref="I52:I62" si="19">C52/E52*G52</f>
        <v>4768990.9397040475</v>
      </c>
      <c r="J52" s="128">
        <v>3273135031</v>
      </c>
      <c r="K52" s="39" t="s">
        <v>10</v>
      </c>
      <c r="L52" s="39">
        <v>1000</v>
      </c>
      <c r="M52" s="39" t="s">
        <v>11</v>
      </c>
      <c r="N52" s="179">
        <v>1.3540200443999999</v>
      </c>
      <c r="O52" s="38" t="s">
        <v>12</v>
      </c>
      <c r="P52" s="41">
        <v>4431890.4400018146</v>
      </c>
      <c r="Q52" s="190">
        <f t="shared" ref="Q52:Q62" si="20">C52-J52</f>
        <v>128141633</v>
      </c>
      <c r="R52" s="191">
        <f t="shared" ref="R52:R62" si="21">G52-N52</f>
        <v>4.8097869200000032E-2</v>
      </c>
      <c r="S52" s="190">
        <f t="shared" ref="S52:S62" si="22">I52-P52</f>
        <v>337100.49970223289</v>
      </c>
      <c r="T52" s="192">
        <f t="shared" si="5"/>
        <v>7.6062462343291781E-2</v>
      </c>
    </row>
    <row r="53" spans="1:20" x14ac:dyDescent="0.25">
      <c r="A53" s="45" t="s">
        <v>62</v>
      </c>
      <c r="B53" s="45" t="s">
        <v>9</v>
      </c>
      <c r="C53" s="144">
        <v>11075341623</v>
      </c>
      <c r="D53" s="147" t="s">
        <v>10</v>
      </c>
      <c r="E53" s="148">
        <v>1000</v>
      </c>
      <c r="F53" s="153" t="s">
        <v>11</v>
      </c>
      <c r="G53" s="175">
        <v>1.1430195041</v>
      </c>
      <c r="H53" s="158" t="s">
        <v>12</v>
      </c>
      <c r="I53" s="162">
        <f t="shared" si="19"/>
        <v>12659331.489659548</v>
      </c>
      <c r="J53" s="129">
        <v>10273624776</v>
      </c>
      <c r="K53" s="55" t="s">
        <v>10</v>
      </c>
      <c r="L53" s="55">
        <v>1000</v>
      </c>
      <c r="M53" s="55" t="s">
        <v>11</v>
      </c>
      <c r="N53" s="183">
        <v>1.1825702276000001</v>
      </c>
      <c r="O53" s="54" t="s">
        <v>12</v>
      </c>
      <c r="P53" s="57">
        <v>12149282.78963132</v>
      </c>
      <c r="Q53" s="193">
        <f t="shared" si="20"/>
        <v>801716847</v>
      </c>
      <c r="R53" s="194">
        <f t="shared" si="21"/>
        <v>-3.9550723500000107E-2</v>
      </c>
      <c r="S53" s="193">
        <f t="shared" si="22"/>
        <v>510048.70002822764</v>
      </c>
      <c r="T53" s="195">
        <f t="shared" si="5"/>
        <v>4.1981795045837884E-2</v>
      </c>
    </row>
    <row r="54" spans="1:20" x14ac:dyDescent="0.25">
      <c r="A54" s="29" t="s">
        <v>63</v>
      </c>
      <c r="B54" s="29" t="s">
        <v>9</v>
      </c>
      <c r="C54" s="143">
        <v>9902334274</v>
      </c>
      <c r="D54" s="145" t="s">
        <v>10</v>
      </c>
      <c r="E54" s="146">
        <v>1000</v>
      </c>
      <c r="F54" s="152" t="s">
        <v>11</v>
      </c>
      <c r="G54" s="174">
        <f>1.5435578922-G55</f>
        <v>1.1650017612999999</v>
      </c>
      <c r="H54" s="157" t="s">
        <v>12</v>
      </c>
      <c r="I54" s="161">
        <f t="shared" si="19"/>
        <v>11536236.870191356</v>
      </c>
      <c r="J54" s="128">
        <v>9391968124</v>
      </c>
      <c r="K54" s="39" t="s">
        <v>10</v>
      </c>
      <c r="L54" s="39">
        <v>1000</v>
      </c>
      <c r="M54" s="39" t="s">
        <v>11</v>
      </c>
      <c r="N54" s="179">
        <v>1.1980834199999999</v>
      </c>
      <c r="O54" s="38" t="s">
        <v>12</v>
      </c>
      <c r="P54" s="41">
        <v>11252361.290532904</v>
      </c>
      <c r="Q54" s="190">
        <f t="shared" si="20"/>
        <v>510366150</v>
      </c>
      <c r="R54" s="191">
        <f t="shared" si="21"/>
        <v>-3.3081658700000016E-2</v>
      </c>
      <c r="S54" s="190">
        <f t="shared" si="22"/>
        <v>283875.57965845242</v>
      </c>
      <c r="T54" s="192">
        <f t="shared" si="5"/>
        <v>2.5228089671924164E-2</v>
      </c>
    </row>
    <row r="55" spans="1:20" x14ac:dyDescent="0.25">
      <c r="A55" s="29" t="s">
        <v>64</v>
      </c>
      <c r="B55" s="29" t="s">
        <v>9</v>
      </c>
      <c r="C55" s="143">
        <v>9902334274</v>
      </c>
      <c r="D55" s="145" t="s">
        <v>10</v>
      </c>
      <c r="E55" s="146">
        <v>1000</v>
      </c>
      <c r="F55" s="152" t="s">
        <v>11</v>
      </c>
      <c r="G55" s="174">
        <v>0.37855613090000001</v>
      </c>
      <c r="H55" s="157" t="s">
        <v>12</v>
      </c>
      <c r="I55" s="161">
        <f t="shared" si="19"/>
        <v>3748589.3496439005</v>
      </c>
      <c r="J55" s="128">
        <v>9391968124</v>
      </c>
      <c r="K55" s="39" t="s">
        <v>10</v>
      </c>
      <c r="L55" s="39">
        <v>1000</v>
      </c>
      <c r="M55" s="39" t="s">
        <v>11</v>
      </c>
      <c r="N55" s="179">
        <v>0.38936173670000002</v>
      </c>
      <c r="O55" s="38" t="s">
        <v>12</v>
      </c>
      <c r="P55" s="41">
        <v>3656873.0197916809</v>
      </c>
      <c r="Q55" s="190">
        <f t="shared" si="20"/>
        <v>510366150</v>
      </c>
      <c r="R55" s="191">
        <f t="shared" si="21"/>
        <v>-1.0805605800000007E-2</v>
      </c>
      <c r="S55" s="190">
        <f t="shared" si="22"/>
        <v>91716.329852219671</v>
      </c>
      <c r="T55" s="192">
        <f t="shared" si="5"/>
        <v>2.508053447736187E-2</v>
      </c>
    </row>
    <row r="56" spans="1:20" x14ac:dyDescent="0.25">
      <c r="A56" s="45" t="s">
        <v>65</v>
      </c>
      <c r="B56" s="45" t="s">
        <v>9</v>
      </c>
      <c r="C56" s="144">
        <v>1844529631</v>
      </c>
      <c r="D56" s="147" t="s">
        <v>10</v>
      </c>
      <c r="E56" s="148">
        <v>1000</v>
      </c>
      <c r="F56" s="153" t="s">
        <v>11</v>
      </c>
      <c r="G56" s="175">
        <v>1.5</v>
      </c>
      <c r="H56" s="158" t="s">
        <v>12</v>
      </c>
      <c r="I56" s="162">
        <f t="shared" si="19"/>
        <v>2766794.4465000001</v>
      </c>
      <c r="J56" s="129">
        <v>1810490651</v>
      </c>
      <c r="K56" s="55" t="s">
        <v>10</v>
      </c>
      <c r="L56" s="55">
        <v>1000</v>
      </c>
      <c r="M56" s="55" t="s">
        <v>11</v>
      </c>
      <c r="N56" s="183">
        <v>1.1632818147000001</v>
      </c>
      <c r="O56" s="54" t="s">
        <v>12</v>
      </c>
      <c r="P56" s="57">
        <v>2106110.8499926645</v>
      </c>
      <c r="Q56" s="193">
        <f t="shared" si="20"/>
        <v>34038980</v>
      </c>
      <c r="R56" s="194">
        <f t="shared" si="21"/>
        <v>0.33671818529999986</v>
      </c>
      <c r="S56" s="193">
        <f t="shared" si="22"/>
        <v>660683.59650733555</v>
      </c>
      <c r="T56" s="195">
        <f t="shared" si="5"/>
        <v>0.31369839650635517</v>
      </c>
    </row>
    <row r="57" spans="1:20" x14ac:dyDescent="0.25">
      <c r="A57" s="45" t="s">
        <v>66</v>
      </c>
      <c r="B57" s="45" t="s">
        <v>9</v>
      </c>
      <c r="C57" s="144">
        <v>1844529631</v>
      </c>
      <c r="D57" s="147" t="s">
        <v>10</v>
      </c>
      <c r="E57" s="148">
        <v>1000</v>
      </c>
      <c r="F57" s="153" t="s">
        <v>11</v>
      </c>
      <c r="G57" s="175">
        <v>0.2549520388</v>
      </c>
      <c r="H57" s="158" t="s">
        <v>12</v>
      </c>
      <c r="I57" s="162">
        <f t="shared" si="19"/>
        <v>470266.5900504617</v>
      </c>
      <c r="J57" s="129">
        <v>1810490651</v>
      </c>
      <c r="K57" s="55" t="s">
        <v>10</v>
      </c>
      <c r="L57" s="55">
        <v>1000</v>
      </c>
      <c r="M57" s="55" t="s">
        <v>11</v>
      </c>
      <c r="N57" s="183">
        <v>0.25492360860000002</v>
      </c>
      <c r="O57" s="54" t="s">
        <v>12</v>
      </c>
      <c r="P57" s="57">
        <v>461536.81008948328</v>
      </c>
      <c r="Q57" s="193">
        <f t="shared" si="20"/>
        <v>34038980</v>
      </c>
      <c r="R57" s="194">
        <f>G57-N57</f>
        <v>2.8430199999984751E-5</v>
      </c>
      <c r="S57" s="193">
        <f t="shared" si="22"/>
        <v>8729.779960978427</v>
      </c>
      <c r="T57" s="195">
        <f t="shared" si="5"/>
        <v>1.8914590927830627E-2</v>
      </c>
    </row>
    <row r="58" spans="1:20" x14ac:dyDescent="0.25">
      <c r="A58" s="29" t="s">
        <v>67</v>
      </c>
      <c r="B58" s="29" t="s">
        <v>9</v>
      </c>
      <c r="C58" s="143">
        <v>1273154241</v>
      </c>
      <c r="D58" s="145" t="s">
        <v>10</v>
      </c>
      <c r="E58" s="146">
        <v>1000</v>
      </c>
      <c r="F58" s="152" t="s">
        <v>11</v>
      </c>
      <c r="G58" s="174">
        <v>0.89862368839999995</v>
      </c>
      <c r="H58" s="157" t="s">
        <v>12</v>
      </c>
      <c r="I58" s="161">
        <f t="shared" si="19"/>
        <v>1144086.5599495224</v>
      </c>
      <c r="J58" s="128">
        <v>1229204739</v>
      </c>
      <c r="K58" s="39" t="s">
        <v>10</v>
      </c>
      <c r="L58" s="39">
        <v>1000</v>
      </c>
      <c r="M58" s="39" t="s">
        <v>11</v>
      </c>
      <c r="N58" s="179">
        <v>0.92267547790000004</v>
      </c>
      <c r="O58" s="38" t="s">
        <v>12</v>
      </c>
      <c r="P58" s="41">
        <v>1134157.06999377</v>
      </c>
      <c r="Q58" s="190">
        <f t="shared" si="20"/>
        <v>43949502</v>
      </c>
      <c r="R58" s="191">
        <f t="shared" si="21"/>
        <v>-2.4051789500000087E-2</v>
      </c>
      <c r="S58" s="190">
        <f t="shared" si="22"/>
        <v>9929.4899557523895</v>
      </c>
      <c r="T58" s="192">
        <f t="shared" si="5"/>
        <v>8.7549513365083841E-3</v>
      </c>
    </row>
    <row r="59" spans="1:20" x14ac:dyDescent="0.25">
      <c r="A59" s="45" t="s">
        <v>68</v>
      </c>
      <c r="B59" s="45" t="s">
        <v>9</v>
      </c>
      <c r="C59" s="144">
        <v>6264435549</v>
      </c>
      <c r="D59" s="147" t="s">
        <v>10</v>
      </c>
      <c r="E59" s="148">
        <v>1000</v>
      </c>
      <c r="F59" s="153" t="s">
        <v>11</v>
      </c>
      <c r="G59" s="175">
        <v>1.4817439014</v>
      </c>
      <c r="H59" s="158" t="s">
        <v>12</v>
      </c>
      <c r="I59" s="162">
        <f t="shared" si="19"/>
        <v>9282289.1704441104</v>
      </c>
      <c r="J59" s="129">
        <v>5797514644</v>
      </c>
      <c r="K59" s="55" t="s">
        <v>10</v>
      </c>
      <c r="L59" s="55">
        <v>1000</v>
      </c>
      <c r="M59" s="55" t="s">
        <v>11</v>
      </c>
      <c r="N59" s="183">
        <v>1.4450362827000001</v>
      </c>
      <c r="O59" s="54" t="s">
        <v>12</v>
      </c>
      <c r="P59" s="57">
        <v>8377619.0100645749</v>
      </c>
      <c r="Q59" s="193">
        <f t="shared" si="20"/>
        <v>466920905</v>
      </c>
      <c r="R59" s="194">
        <f t="shared" si="21"/>
        <v>3.6707618699999944E-2</v>
      </c>
      <c r="S59" s="193">
        <f t="shared" si="22"/>
        <v>904670.16037953552</v>
      </c>
      <c r="T59" s="195">
        <f t="shared" si="5"/>
        <v>0.10798654836090026</v>
      </c>
    </row>
    <row r="60" spans="1:20" x14ac:dyDescent="0.25">
      <c r="A60" s="29" t="s">
        <v>70</v>
      </c>
      <c r="B60" s="29" t="s">
        <v>9</v>
      </c>
      <c r="C60" s="143">
        <v>462752843</v>
      </c>
      <c r="D60" s="145" t="s">
        <v>10</v>
      </c>
      <c r="E60" s="146">
        <v>1000</v>
      </c>
      <c r="F60" s="152" t="s">
        <v>11</v>
      </c>
      <c r="G60" s="174">
        <v>1.25</v>
      </c>
      <c r="H60" s="157" t="s">
        <v>12</v>
      </c>
      <c r="I60" s="161">
        <f t="shared" si="19"/>
        <v>578441.05374999996</v>
      </c>
      <c r="J60" s="128">
        <v>451251264</v>
      </c>
      <c r="K60" s="39" t="s">
        <v>10</v>
      </c>
      <c r="L60" s="39">
        <v>1000</v>
      </c>
      <c r="M60" s="39" t="s">
        <v>11</v>
      </c>
      <c r="N60" s="179">
        <v>1.25</v>
      </c>
      <c r="O60" s="38" t="s">
        <v>12</v>
      </c>
      <c r="P60" s="41">
        <v>564064.08000000007</v>
      </c>
      <c r="Q60" s="190">
        <f t="shared" si="20"/>
        <v>11501579</v>
      </c>
      <c r="R60" s="191">
        <f t="shared" si="21"/>
        <v>0</v>
      </c>
      <c r="S60" s="190">
        <f t="shared" si="22"/>
        <v>14376.973749999888</v>
      </c>
      <c r="T60" s="192">
        <f t="shared" si="5"/>
        <v>2.5488192316730905E-2</v>
      </c>
    </row>
    <row r="61" spans="1:20" ht="15.75" thickBot="1" x14ac:dyDescent="0.3">
      <c r="A61" s="45" t="s">
        <v>71</v>
      </c>
      <c r="B61" s="45" t="s">
        <v>9</v>
      </c>
      <c r="C61" s="144">
        <v>1881504522</v>
      </c>
      <c r="D61" s="147" t="s">
        <v>10</v>
      </c>
      <c r="E61" s="148">
        <v>1000</v>
      </c>
      <c r="F61" s="153" t="s">
        <v>11</v>
      </c>
      <c r="G61" s="175">
        <v>0.5</v>
      </c>
      <c r="H61" s="158" t="s">
        <v>12</v>
      </c>
      <c r="I61" s="162">
        <f t="shared" si="19"/>
        <v>940752.26100000006</v>
      </c>
      <c r="J61" s="129">
        <v>1829463940</v>
      </c>
      <c r="K61" s="55" t="s">
        <v>10</v>
      </c>
      <c r="L61" s="55">
        <v>1000</v>
      </c>
      <c r="M61" s="55" t="s">
        <v>11</v>
      </c>
      <c r="N61" s="183">
        <v>0.37437332600000001</v>
      </c>
      <c r="O61" s="54" t="s">
        <v>12</v>
      </c>
      <c r="P61" s="57">
        <v>684902.50001486437</v>
      </c>
      <c r="Q61" s="193">
        <f t="shared" si="20"/>
        <v>52040582</v>
      </c>
      <c r="R61" s="194">
        <f t="shared" si="21"/>
        <v>0.12562667399999999</v>
      </c>
      <c r="S61" s="193">
        <f t="shared" si="22"/>
        <v>255849.76098513568</v>
      </c>
      <c r="T61" s="195">
        <f t="shared" si="5"/>
        <v>0.37355647114674423</v>
      </c>
    </row>
    <row r="62" spans="1:20" hidden="1" x14ac:dyDescent="0.25">
      <c r="A62" s="118" t="s">
        <v>88</v>
      </c>
      <c r="B62" s="118" t="s">
        <v>19</v>
      </c>
      <c r="C62" s="141"/>
      <c r="D62" s="145" t="s">
        <v>10</v>
      </c>
      <c r="E62" s="146">
        <v>1000</v>
      </c>
      <c r="F62" s="152" t="s">
        <v>11</v>
      </c>
      <c r="G62" s="177"/>
      <c r="H62" s="157" t="s">
        <v>12</v>
      </c>
      <c r="I62" s="161">
        <f t="shared" si="19"/>
        <v>0</v>
      </c>
      <c r="J62" s="37"/>
      <c r="K62" s="39" t="s">
        <v>10</v>
      </c>
      <c r="L62" s="39">
        <v>1000</v>
      </c>
      <c r="M62" s="39" t="s">
        <v>11</v>
      </c>
      <c r="N62" s="179"/>
      <c r="O62" s="38" t="s">
        <v>12</v>
      </c>
      <c r="P62" s="41">
        <v>0</v>
      </c>
      <c r="Q62" s="42">
        <f t="shared" si="20"/>
        <v>0</v>
      </c>
      <c r="R62" s="171">
        <f t="shared" si="21"/>
        <v>0</v>
      </c>
      <c r="S62" s="42">
        <f t="shared" si="22"/>
        <v>0</v>
      </c>
      <c r="T62" s="185" t="e">
        <f t="shared" si="5"/>
        <v>#DIV/0!</v>
      </c>
    </row>
    <row r="63" spans="1:20" ht="15.75" thickBot="1" x14ac:dyDescent="0.3">
      <c r="A63" s="78" t="s">
        <v>72</v>
      </c>
      <c r="B63" s="79"/>
      <c r="C63" s="142"/>
      <c r="D63" s="149"/>
      <c r="E63" s="150"/>
      <c r="F63" s="154"/>
      <c r="G63" s="176"/>
      <c r="H63" s="159"/>
      <c r="I63" s="159"/>
      <c r="J63" s="80"/>
      <c r="K63" s="80"/>
      <c r="L63" s="80"/>
      <c r="M63" s="80"/>
      <c r="N63" s="181"/>
      <c r="O63" s="80"/>
      <c r="P63" s="80"/>
      <c r="Q63" s="86"/>
      <c r="R63" s="173"/>
      <c r="S63" s="86"/>
      <c r="T63" s="187"/>
    </row>
    <row r="64" spans="1:20" x14ac:dyDescent="0.25">
      <c r="A64" s="45" t="s">
        <v>73</v>
      </c>
      <c r="B64" s="45" t="s">
        <v>9</v>
      </c>
      <c r="C64" s="144">
        <v>1481403557</v>
      </c>
      <c r="D64" s="147" t="s">
        <v>10</v>
      </c>
      <c r="E64" s="148">
        <v>1000</v>
      </c>
      <c r="F64" s="153" t="s">
        <v>11</v>
      </c>
      <c r="G64" s="175">
        <v>1.3922654499999999E-2</v>
      </c>
      <c r="H64" s="158" t="s">
        <v>12</v>
      </c>
      <c r="I64" s="162">
        <f>C64/E64*G64</f>
        <v>20625.069899182057</v>
      </c>
      <c r="J64" s="129">
        <v>1309414466</v>
      </c>
      <c r="K64" s="55" t="s">
        <v>10</v>
      </c>
      <c r="L64" s="55">
        <v>1000</v>
      </c>
      <c r="M64" s="55" t="s">
        <v>11</v>
      </c>
      <c r="N64" s="183">
        <v>1.4575094800000001E-2</v>
      </c>
      <c r="O64" s="54" t="s">
        <v>12</v>
      </c>
      <c r="P64" s="57">
        <v>19084.839974441376</v>
      </c>
      <c r="Q64" s="193">
        <f>C64-J64</f>
        <v>171989091</v>
      </c>
      <c r="R64" s="194">
        <f>G64-N64</f>
        <v>-6.5244030000000119E-4</v>
      </c>
      <c r="S64" s="193">
        <f>I64-P64</f>
        <v>1540.2299247406809</v>
      </c>
      <c r="T64" s="195">
        <f t="shared" si="5"/>
        <v>8.0704366754102905E-2</v>
      </c>
    </row>
    <row r="65" spans="1:20" x14ac:dyDescent="0.25">
      <c r="A65" s="29" t="s">
        <v>74</v>
      </c>
      <c r="B65" s="29" t="s">
        <v>9</v>
      </c>
      <c r="C65" s="143">
        <v>786464714</v>
      </c>
      <c r="D65" s="145" t="s">
        <v>10</v>
      </c>
      <c r="E65" s="146">
        <v>1000</v>
      </c>
      <c r="F65" s="152" t="s">
        <v>11</v>
      </c>
      <c r="G65" s="174">
        <v>6.7180000700000006E-2</v>
      </c>
      <c r="H65" s="157" t="s">
        <v>12</v>
      </c>
      <c r="I65" s="161">
        <f>C65/E65*G65</f>
        <v>52834.70003704531</v>
      </c>
      <c r="J65" s="128">
        <v>758675435</v>
      </c>
      <c r="K65" s="39" t="s">
        <v>10</v>
      </c>
      <c r="L65" s="39">
        <v>1000</v>
      </c>
      <c r="M65" s="39" t="s">
        <v>11</v>
      </c>
      <c r="N65" s="179">
        <v>6.8968662400000005E-2</v>
      </c>
      <c r="O65" s="38" t="s">
        <v>12</v>
      </c>
      <c r="P65" s="41">
        <v>52324.829947688151</v>
      </c>
      <c r="Q65" s="190">
        <f>C65-J65</f>
        <v>27789279</v>
      </c>
      <c r="R65" s="191">
        <f>G65-N65</f>
        <v>-1.7886616999999994E-3</v>
      </c>
      <c r="S65" s="190">
        <f>I65-P65</f>
        <v>509.87008935715858</v>
      </c>
      <c r="T65" s="192">
        <f t="shared" ref="T65:T72" si="23">(I65-P65)/P65</f>
        <v>9.7443238681693221E-3</v>
      </c>
    </row>
    <row r="66" spans="1:20" x14ac:dyDescent="0.25">
      <c r="A66" s="45" t="s">
        <v>75</v>
      </c>
      <c r="B66" s="45" t="s">
        <v>9</v>
      </c>
      <c r="C66" s="144">
        <v>315649349</v>
      </c>
      <c r="D66" s="147" t="s">
        <v>10</v>
      </c>
      <c r="E66" s="148">
        <v>1000</v>
      </c>
      <c r="F66" s="153" t="s">
        <v>11</v>
      </c>
      <c r="G66" s="175">
        <v>8.2616010700000006E-2</v>
      </c>
      <c r="H66" s="158" t="s">
        <v>12</v>
      </c>
      <c r="I66" s="162">
        <f>C66/E66*G66</f>
        <v>26077.689994432036</v>
      </c>
      <c r="J66" s="129">
        <v>313469283</v>
      </c>
      <c r="K66" s="55" t="s">
        <v>10</v>
      </c>
      <c r="L66" s="55">
        <v>1000</v>
      </c>
      <c r="M66" s="55" t="s">
        <v>11</v>
      </c>
      <c r="N66" s="183">
        <v>8.2301748199999997E-2</v>
      </c>
      <c r="O66" s="54" t="s">
        <v>12</v>
      </c>
      <c r="P66" s="57">
        <v>25799.06999790054</v>
      </c>
      <c r="Q66" s="193">
        <f>C66-J66</f>
        <v>2180066</v>
      </c>
      <c r="R66" s="194">
        <f>G66-N66</f>
        <v>3.1426250000000933E-4</v>
      </c>
      <c r="S66" s="193">
        <f>I66-P66</f>
        <v>278.61999653149542</v>
      </c>
      <c r="T66" s="195">
        <f t="shared" si="23"/>
        <v>1.0799613961052425E-2</v>
      </c>
    </row>
    <row r="67" spans="1:20" ht="15.75" thickBot="1" x14ac:dyDescent="0.3">
      <c r="A67" s="29" t="s">
        <v>76</v>
      </c>
      <c r="B67" s="29" t="s">
        <v>9</v>
      </c>
      <c r="C67" s="143">
        <v>4490657893</v>
      </c>
      <c r="D67" s="145" t="s">
        <v>10</v>
      </c>
      <c r="E67" s="146">
        <v>1000</v>
      </c>
      <c r="F67" s="152" t="s">
        <v>11</v>
      </c>
      <c r="G67" s="174">
        <v>2.68183845E-2</v>
      </c>
      <c r="H67" s="157" t="s">
        <v>12</v>
      </c>
      <c r="I67" s="161">
        <f>C67/E67*G67</f>
        <v>120432.19003243386</v>
      </c>
      <c r="J67" s="128">
        <v>4303749262</v>
      </c>
      <c r="K67" s="39" t="s">
        <v>10</v>
      </c>
      <c r="L67" s="39">
        <v>1000</v>
      </c>
      <c r="M67" s="39" t="s">
        <v>11</v>
      </c>
      <c r="N67" s="179">
        <v>2.7215375E-2</v>
      </c>
      <c r="O67" s="38" t="s">
        <v>12</v>
      </c>
      <c r="P67" s="41">
        <v>117128.15007130326</v>
      </c>
      <c r="Q67" s="190">
        <f>C67-J67</f>
        <v>186908631</v>
      </c>
      <c r="R67" s="191">
        <f>G67-N67</f>
        <v>-3.9699049999999958E-4</v>
      </c>
      <c r="S67" s="190">
        <f>I67-P67</f>
        <v>3304.0399611306057</v>
      </c>
      <c r="T67" s="192">
        <f>(I67-P67)/P67</f>
        <v>2.8208760738722749E-2</v>
      </c>
    </row>
    <row r="68" spans="1:20" ht="15.75" thickBot="1" x14ac:dyDescent="0.3">
      <c r="A68" s="78" t="s">
        <v>77</v>
      </c>
      <c r="B68" s="79"/>
      <c r="C68" s="142"/>
      <c r="D68" s="149"/>
      <c r="E68" s="150"/>
      <c r="F68" s="154"/>
      <c r="G68" s="176"/>
      <c r="H68" s="159"/>
      <c r="I68" s="159"/>
      <c r="J68" s="80"/>
      <c r="K68" s="80"/>
      <c r="L68" s="80"/>
      <c r="M68" s="80"/>
      <c r="N68" s="181"/>
      <c r="O68" s="80"/>
      <c r="P68" s="80"/>
      <c r="Q68" s="86"/>
      <c r="R68" s="173"/>
      <c r="S68" s="86"/>
      <c r="T68" s="187"/>
    </row>
    <row r="69" spans="1:20" x14ac:dyDescent="0.25">
      <c r="A69" s="107" t="s">
        <v>78</v>
      </c>
      <c r="B69" s="89" t="s">
        <v>9</v>
      </c>
      <c r="C69" s="144">
        <v>8515826413</v>
      </c>
      <c r="D69" s="147" t="s">
        <v>10</v>
      </c>
      <c r="E69" s="148">
        <v>1000</v>
      </c>
      <c r="F69" s="153" t="s">
        <v>11</v>
      </c>
      <c r="G69" s="175">
        <f>0.0002871207+0.1420554461</f>
        <v>0.14234256680000001</v>
      </c>
      <c r="H69" s="158" t="s">
        <v>12</v>
      </c>
      <c r="I69" s="162">
        <f>C69/E69*G69</f>
        <v>1212164.590049657</v>
      </c>
      <c r="J69" s="129">
        <v>8049689871</v>
      </c>
      <c r="K69" s="55" t="s">
        <v>10</v>
      </c>
      <c r="L69" s="55">
        <v>1000</v>
      </c>
      <c r="M69" s="55" t="s">
        <v>11</v>
      </c>
      <c r="N69" s="183">
        <v>0.13823611690000001</v>
      </c>
      <c r="O69" s="54" t="s">
        <v>12</v>
      </c>
      <c r="P69" s="57">
        <v>1111063.22</v>
      </c>
      <c r="Q69" s="193">
        <f>C69-J69</f>
        <v>466136542</v>
      </c>
      <c r="R69" s="194">
        <f>G69-N69</f>
        <v>4.1064499000000032E-3</v>
      </c>
      <c r="S69" s="193">
        <f>I69-P69</f>
        <v>101101.37004965707</v>
      </c>
      <c r="T69" s="195">
        <f t="shared" si="23"/>
        <v>9.0995155117867252E-2</v>
      </c>
    </row>
    <row r="70" spans="1:20" x14ac:dyDescent="0.25">
      <c r="A70" s="45" t="s">
        <v>79</v>
      </c>
      <c r="B70" s="12" t="s">
        <v>9</v>
      </c>
      <c r="C70" s="144">
        <v>8515826413</v>
      </c>
      <c r="D70" s="147" t="s">
        <v>10</v>
      </c>
      <c r="E70" s="148">
        <v>1000</v>
      </c>
      <c r="F70" s="153" t="s">
        <v>11</v>
      </c>
      <c r="G70" s="175">
        <v>0.1701394474</v>
      </c>
      <c r="H70" s="158" t="s">
        <v>12</v>
      </c>
      <c r="I70" s="162">
        <f>C70/E70*G70</f>
        <v>1448878.0000621444</v>
      </c>
      <c r="J70" s="129">
        <v>8049689871</v>
      </c>
      <c r="K70" s="55" t="s">
        <v>10</v>
      </c>
      <c r="L70" s="55">
        <v>1000</v>
      </c>
      <c r="M70" s="55" t="s">
        <v>11</v>
      </c>
      <c r="N70" s="183">
        <v>0.18158397070000001</v>
      </c>
      <c r="O70" s="54" t="s">
        <v>12</v>
      </c>
      <c r="P70" s="57">
        <v>1461694.6496797509</v>
      </c>
      <c r="Q70" s="193">
        <f>C70-J70</f>
        <v>466136542</v>
      </c>
      <c r="R70" s="194">
        <f>G70-N70</f>
        <v>-1.1444523300000009E-2</v>
      </c>
      <c r="S70" s="193">
        <f>I70-P70</f>
        <v>-12816.649617606541</v>
      </c>
      <c r="T70" s="195">
        <f t="shared" si="23"/>
        <v>-8.7683495457923418E-3</v>
      </c>
    </row>
    <row r="71" spans="1:20" x14ac:dyDescent="0.25">
      <c r="A71" s="118" t="s">
        <v>80</v>
      </c>
      <c r="B71" s="29" t="s">
        <v>9</v>
      </c>
      <c r="C71" s="143">
        <v>3913125809</v>
      </c>
      <c r="D71" s="145" t="s">
        <v>10</v>
      </c>
      <c r="E71" s="146">
        <v>1000</v>
      </c>
      <c r="F71" s="152" t="s">
        <v>11</v>
      </c>
      <c r="G71" s="174">
        <v>0.16728016470000001</v>
      </c>
      <c r="H71" s="157" t="s">
        <v>12</v>
      </c>
      <c r="I71" s="161">
        <f>C71/E71*G71</f>
        <v>654588.32982134074</v>
      </c>
      <c r="J71" s="128">
        <v>3508269647</v>
      </c>
      <c r="K71" s="39" t="s">
        <v>10</v>
      </c>
      <c r="L71" s="39">
        <v>1000</v>
      </c>
      <c r="M71" s="39" t="s">
        <v>11</v>
      </c>
      <c r="N71" s="179">
        <v>0.1717891641</v>
      </c>
      <c r="O71" s="38" t="s">
        <v>12</v>
      </c>
      <c r="P71" s="41">
        <v>602682.71009553201</v>
      </c>
      <c r="Q71" s="42">
        <f>C71-J71</f>
        <v>404856162</v>
      </c>
      <c r="R71" s="171">
        <f>G71-N71</f>
        <v>-4.5089993999999911E-3</v>
      </c>
      <c r="S71" s="42">
        <f>I71-P71</f>
        <v>51905.619725808734</v>
      </c>
      <c r="T71" s="185">
        <f t="shared" si="23"/>
        <v>8.6124288711685634E-2</v>
      </c>
    </row>
    <row r="72" spans="1:20" x14ac:dyDescent="0.25">
      <c r="A72" s="196" t="s">
        <v>81</v>
      </c>
      <c r="B72" s="45" t="s">
        <v>9</v>
      </c>
      <c r="C72" s="144">
        <v>43593692267</v>
      </c>
      <c r="D72" s="147" t="s">
        <v>10</v>
      </c>
      <c r="E72" s="148">
        <v>1000</v>
      </c>
      <c r="F72" s="153" t="s">
        <v>11</v>
      </c>
      <c r="G72" s="175">
        <v>0.144532937</v>
      </c>
      <c r="H72" s="158" t="s">
        <v>12</v>
      </c>
      <c r="I72" s="162">
        <f>C72/E72*G72</f>
        <v>6300724.378023698</v>
      </c>
      <c r="J72" s="129">
        <v>40886953291</v>
      </c>
      <c r="K72" s="55" t="s">
        <v>10</v>
      </c>
      <c r="L72" s="55">
        <v>1000</v>
      </c>
      <c r="M72" s="55" t="s">
        <v>11</v>
      </c>
      <c r="N72" s="180">
        <v>0.1046635578</v>
      </c>
      <c r="O72" s="54" t="s">
        <v>12</v>
      </c>
      <c r="P72" s="57">
        <v>4279373.9990384793</v>
      </c>
      <c r="Q72" s="193">
        <f>C72-J72</f>
        <v>2706738976</v>
      </c>
      <c r="R72" s="194">
        <f>G72-N72</f>
        <v>3.9869379199999999E-2</v>
      </c>
      <c r="S72" s="193">
        <f>I72-P72</f>
        <v>2021350.3789852187</v>
      </c>
      <c r="T72" s="197">
        <f t="shared" si="23"/>
        <v>0.47234721233511967</v>
      </c>
    </row>
    <row r="73" spans="1:20" x14ac:dyDescent="0.25">
      <c r="A73" s="196" t="s">
        <v>128</v>
      </c>
      <c r="B73" s="45" t="s">
        <v>9</v>
      </c>
      <c r="C73" s="144">
        <v>43593692267</v>
      </c>
      <c r="D73" s="147" t="s">
        <v>10</v>
      </c>
      <c r="E73" s="148">
        <v>1000</v>
      </c>
      <c r="F73" s="153" t="s">
        <v>11</v>
      </c>
      <c r="G73" s="175">
        <v>0.12976801700000001</v>
      </c>
      <c r="H73" s="158" t="s">
        <v>12</v>
      </c>
      <c r="I73" s="162">
        <f>C73/E73*G73</f>
        <v>5657066.9991968246</v>
      </c>
      <c r="J73" s="129">
        <v>40886953291</v>
      </c>
      <c r="K73" s="55" t="s">
        <v>10</v>
      </c>
      <c r="L73" s="55">
        <v>1000</v>
      </c>
      <c r="M73" s="55" t="s">
        <v>11</v>
      </c>
      <c r="N73" s="180">
        <v>0.13959181449999999</v>
      </c>
      <c r="O73" s="54" t="s">
        <v>12</v>
      </c>
      <c r="P73" s="57">
        <v>5707483.9992674366</v>
      </c>
      <c r="Q73" s="193">
        <f>C73-J73</f>
        <v>2706738976</v>
      </c>
      <c r="R73" s="194">
        <f>G73-N73</f>
        <v>-9.8237974999999811E-3</v>
      </c>
      <c r="S73" s="193">
        <f>I73-P73</f>
        <v>-50417.000070611946</v>
      </c>
      <c r="T73" s="195">
        <f>(I73-P73)/P73</f>
        <v>-8.8334895160604981E-3</v>
      </c>
    </row>
    <row r="74" spans="1:20" x14ac:dyDescent="0.25">
      <c r="C74" s="112"/>
      <c r="E74" s="113"/>
      <c r="I74" s="164"/>
      <c r="P74" s="115"/>
      <c r="Q74" s="116"/>
      <c r="R74" s="117"/>
      <c r="S74" s="116"/>
    </row>
    <row r="75" spans="1:20" x14ac:dyDescent="0.25">
      <c r="C75" s="164"/>
      <c r="I75" s="164"/>
      <c r="P75" s="115"/>
    </row>
    <row r="76" spans="1:20" x14ac:dyDescent="0.25">
      <c r="I76" s="164"/>
      <c r="P76" s="115"/>
    </row>
    <row r="84" spans="9:16" x14ac:dyDescent="0.25">
      <c r="I84"/>
      <c r="J84"/>
      <c r="K84"/>
      <c r="L84"/>
      <c r="M84"/>
      <c r="N84"/>
      <c r="O84"/>
      <c r="P84"/>
    </row>
    <row r="85" spans="9:16" x14ac:dyDescent="0.25">
      <c r="I85"/>
      <c r="J85"/>
      <c r="K85"/>
      <c r="L85"/>
      <c r="M85"/>
      <c r="N85"/>
      <c r="O85"/>
      <c r="P85"/>
    </row>
    <row r="86" spans="9:16" x14ac:dyDescent="0.25">
      <c r="I86"/>
      <c r="J86"/>
      <c r="K86"/>
      <c r="L86"/>
      <c r="M86"/>
      <c r="N86"/>
      <c r="O86"/>
      <c r="P86"/>
    </row>
    <row r="87" spans="9:16" x14ac:dyDescent="0.25">
      <c r="I87"/>
      <c r="J87"/>
      <c r="K87"/>
      <c r="L87"/>
      <c r="M87"/>
      <c r="N87"/>
      <c r="O87"/>
      <c r="P87"/>
    </row>
    <row r="88" spans="9:16" x14ac:dyDescent="0.25">
      <c r="I88"/>
      <c r="J88"/>
      <c r="K88"/>
      <c r="L88"/>
      <c r="M88"/>
      <c r="N88"/>
      <c r="O88"/>
      <c r="P88"/>
    </row>
    <row r="89" spans="9:16" x14ac:dyDescent="0.25">
      <c r="I89"/>
      <c r="J89"/>
      <c r="K89"/>
      <c r="L89"/>
      <c r="M89"/>
      <c r="N89"/>
      <c r="O89"/>
      <c r="P89"/>
    </row>
    <row r="90" spans="9:16" x14ac:dyDescent="0.25">
      <c r="I90"/>
      <c r="J90"/>
      <c r="K90"/>
      <c r="L90"/>
      <c r="M90"/>
      <c r="N90"/>
      <c r="O90"/>
      <c r="P90"/>
    </row>
    <row r="91" spans="9:16" x14ac:dyDescent="0.25">
      <c r="I91"/>
      <c r="J91"/>
      <c r="K91"/>
      <c r="L91"/>
      <c r="M91"/>
      <c r="N91"/>
      <c r="O91"/>
      <c r="P91"/>
    </row>
    <row r="92" spans="9:16" x14ac:dyDescent="0.25">
      <c r="I92"/>
      <c r="J92"/>
      <c r="K92"/>
      <c r="L92"/>
      <c r="M92"/>
      <c r="N92"/>
      <c r="O92"/>
      <c r="P92"/>
    </row>
    <row r="93" spans="9:16" x14ac:dyDescent="0.25">
      <c r="I93"/>
      <c r="J93"/>
      <c r="K93"/>
      <c r="L93"/>
      <c r="M93"/>
      <c r="N93"/>
      <c r="O93"/>
      <c r="P93"/>
    </row>
    <row r="94" spans="9:16" x14ac:dyDescent="0.25">
      <c r="I94"/>
      <c r="J94"/>
      <c r="K94"/>
      <c r="L94"/>
      <c r="M94"/>
      <c r="N94"/>
      <c r="O94"/>
      <c r="P94"/>
    </row>
  </sheetData>
  <printOptions horizontalCentered="1" gridLines="1"/>
  <pageMargins left="0.5" right="0.5" top="0.5" bottom="1" header="0.3" footer="0.3"/>
  <pageSetup paperSize="5" scale="72" fitToHeight="0" orientation="landscape" r:id="rId1"/>
  <headerFooter>
    <oddHeader>&amp;C&amp;"-,Bold"&amp;14Comparison by Levy Report</oddHeader>
    <oddFooter>&amp;L&amp;"-,Bold"Legend&amp;"-,Regular":
AV =  Taxable Assessed Value
GF = General Fund
Enrichment = Former M+O&amp;CPage &amp;P of &amp;N&amp;R
Nick Deatherage
Note: Administrative  Refund Levies are bundled with their parent levy.</oddFooter>
  </headerFooter>
  <rowBreaks count="2" manualBreakCount="2">
    <brk id="24" max="16383" man="1"/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0"/>
  <sheetViews>
    <sheetView zoomScale="85" zoomScaleNormal="85" workbookViewId="0">
      <selection activeCell="I32" sqref="I32"/>
    </sheetView>
  </sheetViews>
  <sheetFormatPr defaultRowHeight="15" x14ac:dyDescent="0.25"/>
  <cols>
    <col min="1" max="1" width="29.140625" style="28" customWidth="1"/>
    <col min="2" max="2" width="7.7109375" style="28" bestFit="1" customWidth="1"/>
    <col min="3" max="3" width="20" style="28" bestFit="1" customWidth="1"/>
    <col min="4" max="4" width="3.7109375" style="113" customWidth="1"/>
    <col min="5" max="5" width="9.140625" style="28"/>
    <col min="6" max="6" width="3.7109375" style="155" customWidth="1"/>
    <col min="7" max="7" width="12.5703125" style="178" bestFit="1" customWidth="1"/>
    <col min="8" max="8" width="3.7109375" style="155" customWidth="1"/>
    <col min="9" max="9" width="16.5703125" style="165" customWidth="1"/>
    <col min="10" max="10" width="17.7109375" style="28" customWidth="1"/>
    <col min="11" max="11" width="3.7109375" style="113" customWidth="1"/>
    <col min="12" max="12" width="9.140625" style="28"/>
    <col min="13" max="13" width="3.7109375" style="113" customWidth="1"/>
    <col min="14" max="14" width="12.5703125" style="178" customWidth="1"/>
    <col min="15" max="15" width="3.7109375" style="113" customWidth="1"/>
    <col min="16" max="16" width="16.28515625" style="28" bestFit="1" customWidth="1"/>
    <col min="17" max="17" width="16.42578125" style="28" customWidth="1"/>
    <col min="18" max="18" width="15.28515625" style="28" bestFit="1" customWidth="1"/>
    <col min="19" max="19" width="14.28515625" style="28" customWidth="1"/>
    <col min="20" max="20" width="12.28515625" style="189" customWidth="1"/>
    <col min="21" max="21" width="9.140625" style="28"/>
    <col min="22" max="22" width="16.28515625" style="28" bestFit="1" customWidth="1"/>
    <col min="23" max="23" width="12.7109375" style="28" bestFit="1" customWidth="1"/>
    <col min="24" max="16384" width="9.140625" style="28"/>
  </cols>
  <sheetData>
    <row r="1" spans="1:23" s="11" customFormat="1" ht="30.75" thickBot="1" x14ac:dyDescent="0.3">
      <c r="A1" s="1" t="s">
        <v>0</v>
      </c>
      <c r="B1" s="2" t="s">
        <v>1</v>
      </c>
      <c r="C1" s="3" t="s">
        <v>112</v>
      </c>
      <c r="D1" s="4"/>
      <c r="E1" s="5" t="s">
        <v>3</v>
      </c>
      <c r="F1" s="151"/>
      <c r="G1" s="168" t="s">
        <v>113</v>
      </c>
      <c r="H1" s="156"/>
      <c r="I1" s="160" t="s">
        <v>5</v>
      </c>
      <c r="J1" s="7" t="s">
        <v>103</v>
      </c>
      <c r="K1" s="7"/>
      <c r="L1" s="8" t="s">
        <v>3</v>
      </c>
      <c r="M1" s="7"/>
      <c r="N1" s="169" t="s">
        <v>104</v>
      </c>
      <c r="O1" s="8"/>
      <c r="P1" s="8" t="s">
        <v>5</v>
      </c>
      <c r="Q1" s="2" t="s">
        <v>109</v>
      </c>
      <c r="R1" s="2" t="s">
        <v>7</v>
      </c>
      <c r="S1" s="2" t="s">
        <v>105</v>
      </c>
      <c r="T1" s="184" t="s">
        <v>126</v>
      </c>
    </row>
    <row r="2" spans="1:23" x14ac:dyDescent="0.25">
      <c r="A2" s="29" t="s">
        <v>106</v>
      </c>
      <c r="B2" s="29" t="s">
        <v>9</v>
      </c>
      <c r="C2" s="143">
        <v>65066758177</v>
      </c>
      <c r="D2" s="145" t="s">
        <v>10</v>
      </c>
      <c r="E2" s="146">
        <v>1000</v>
      </c>
      <c r="F2" s="152" t="s">
        <v>11</v>
      </c>
      <c r="G2" s="174">
        <v>1.8260405824999999</v>
      </c>
      <c r="H2" s="157" t="s">
        <v>12</v>
      </c>
      <c r="I2" s="161">
        <f t="shared" ref="I2:I9" si="0">C2/E2*G2</f>
        <v>118814541.00291571</v>
      </c>
      <c r="J2" s="128">
        <v>57223984731</v>
      </c>
      <c r="K2" s="38" t="s">
        <v>10</v>
      </c>
      <c r="L2" s="39">
        <v>1000</v>
      </c>
      <c r="M2" s="39" t="s">
        <v>11</v>
      </c>
      <c r="N2" s="179">
        <v>1.8755478057999999</v>
      </c>
      <c r="O2" s="38" t="s">
        <v>12</v>
      </c>
      <c r="P2" s="41">
        <v>107326319.00135975</v>
      </c>
      <c r="Q2" s="42">
        <f>C2-J2</f>
        <v>7842773446</v>
      </c>
      <c r="R2" s="171">
        <f t="shared" ref="R2:R9" si="1">G2-N2</f>
        <v>-4.9507223300000014E-2</v>
      </c>
      <c r="S2" s="42">
        <f t="shared" ref="S2:S9" si="2">I2-P2</f>
        <v>11488222.001555964</v>
      </c>
      <c r="T2" s="185">
        <f>(I2-P2)/P2</f>
        <v>0.10704011940827317</v>
      </c>
    </row>
    <row r="3" spans="1:23" x14ac:dyDescent="0.25">
      <c r="A3" s="126" t="s">
        <v>107</v>
      </c>
      <c r="B3" s="45" t="s">
        <v>9</v>
      </c>
      <c r="C3" s="144">
        <v>64447489941</v>
      </c>
      <c r="D3" s="147" t="s">
        <v>10</v>
      </c>
      <c r="E3" s="148">
        <v>1000</v>
      </c>
      <c r="F3" s="153" t="s">
        <v>11</v>
      </c>
      <c r="G3" s="175">
        <v>0.67999514090000002</v>
      </c>
      <c r="H3" s="158" t="s">
        <v>12</v>
      </c>
      <c r="I3" s="162">
        <f t="shared" si="0"/>
        <v>43823980.003081627</v>
      </c>
      <c r="J3" s="129">
        <v>56695983074</v>
      </c>
      <c r="K3" s="54" t="s">
        <v>10</v>
      </c>
      <c r="L3" s="55">
        <v>1000</v>
      </c>
      <c r="M3" s="55" t="s">
        <v>11</v>
      </c>
      <c r="N3" s="170">
        <v>1.0187636913</v>
      </c>
      <c r="O3" s="54" t="s">
        <v>12</v>
      </c>
      <c r="P3" s="57">
        <v>57759808.998350561</v>
      </c>
      <c r="Q3" s="131">
        <v>0</v>
      </c>
      <c r="R3" s="172">
        <f>G3-N3</f>
        <v>-0.33876855039999998</v>
      </c>
      <c r="S3" s="58">
        <f>I3-P3</f>
        <v>-13935828.995268933</v>
      </c>
      <c r="T3" s="186">
        <f t="shared" ref="T3:T66" si="3">(I3-P3)/P3</f>
        <v>-0.24127207546110302</v>
      </c>
    </row>
    <row r="4" spans="1:23" x14ac:dyDescent="0.25">
      <c r="A4" s="29" t="s">
        <v>13</v>
      </c>
      <c r="B4" s="29" t="s">
        <v>9</v>
      </c>
      <c r="C4" s="143">
        <v>65070810280</v>
      </c>
      <c r="D4" s="145" t="s">
        <v>10</v>
      </c>
      <c r="E4" s="146">
        <v>1000</v>
      </c>
      <c r="F4" s="152" t="s">
        <v>11</v>
      </c>
      <c r="G4" s="174">
        <v>1.0137757885000001</v>
      </c>
      <c r="H4" s="157" t="s">
        <v>12</v>
      </c>
      <c r="I4" s="161">
        <f t="shared" si="0"/>
        <v>65967211.999940909</v>
      </c>
      <c r="J4" s="128">
        <v>57227312739</v>
      </c>
      <c r="K4" s="38" t="s">
        <v>10</v>
      </c>
      <c r="L4" s="39">
        <v>1000</v>
      </c>
      <c r="M4" s="39" t="s">
        <v>11</v>
      </c>
      <c r="N4" s="179">
        <v>1.1089871511</v>
      </c>
      <c r="O4" s="38" t="s">
        <v>12</v>
      </c>
      <c r="P4" s="41">
        <v>63464354.519532345</v>
      </c>
      <c r="Q4" s="42">
        <f>C4-J4</f>
        <v>7843497541</v>
      </c>
      <c r="R4" s="171">
        <f t="shared" si="1"/>
        <v>-9.521136259999996E-2</v>
      </c>
      <c r="S4" s="42">
        <f>I4-P4</f>
        <v>2502857.4804085642</v>
      </c>
      <c r="T4" s="185">
        <f t="shared" si="3"/>
        <v>3.9437216361166379E-2</v>
      </c>
    </row>
    <row r="5" spans="1:23" x14ac:dyDescent="0.25">
      <c r="A5" s="45" t="s">
        <v>14</v>
      </c>
      <c r="B5" s="45" t="s">
        <v>9</v>
      </c>
      <c r="C5" s="144">
        <v>65070810280</v>
      </c>
      <c r="D5" s="147" t="s">
        <v>10</v>
      </c>
      <c r="E5" s="148">
        <v>1000</v>
      </c>
      <c r="F5" s="153" t="s">
        <v>11</v>
      </c>
      <c r="G5" s="175">
        <v>3.9098574800000001E-2</v>
      </c>
      <c r="H5" s="158" t="s">
        <v>12</v>
      </c>
      <c r="I5" s="162">
        <f t="shared" si="0"/>
        <v>2544175.943029189</v>
      </c>
      <c r="J5" s="129">
        <v>57227312739</v>
      </c>
      <c r="K5" s="54" t="s">
        <v>10</v>
      </c>
      <c r="L5" s="55">
        <v>1000</v>
      </c>
      <c r="M5" s="55" t="s">
        <v>11</v>
      </c>
      <c r="N5" s="180">
        <v>4.31821898E-2</v>
      </c>
      <c r="O5" s="54" t="s">
        <v>12</v>
      </c>
      <c r="P5" s="57">
        <v>2471200.6804394559</v>
      </c>
      <c r="Q5" s="58">
        <f t="shared" ref="Q5:Q9" si="4">C5-J5</f>
        <v>7843497541</v>
      </c>
      <c r="R5" s="172">
        <f t="shared" si="1"/>
        <v>-4.0836149999999988E-3</v>
      </c>
      <c r="S5" s="58">
        <f t="shared" si="2"/>
        <v>72975.262589733116</v>
      </c>
      <c r="T5" s="186">
        <f t="shared" si="3"/>
        <v>2.9530285891939727E-2</v>
      </c>
    </row>
    <row r="6" spans="1:23" x14ac:dyDescent="0.25">
      <c r="A6" s="29" t="s">
        <v>15</v>
      </c>
      <c r="B6" s="29" t="s">
        <v>9</v>
      </c>
      <c r="C6" s="143">
        <v>30271653037</v>
      </c>
      <c r="D6" s="145" t="s">
        <v>10</v>
      </c>
      <c r="E6" s="146">
        <v>1000</v>
      </c>
      <c r="F6" s="152" t="s">
        <v>11</v>
      </c>
      <c r="G6" s="174">
        <v>1.3780905429999999</v>
      </c>
      <c r="H6" s="157" t="s">
        <v>12</v>
      </c>
      <c r="I6" s="161">
        <f t="shared" si="0"/>
        <v>41717078.77126693</v>
      </c>
      <c r="J6" s="128">
        <v>26445838635</v>
      </c>
      <c r="K6" s="38" t="s">
        <v>10</v>
      </c>
      <c r="L6" s="39">
        <v>1000</v>
      </c>
      <c r="M6" s="39" t="s">
        <v>11</v>
      </c>
      <c r="N6" s="179">
        <v>1.5096739187999999</v>
      </c>
      <c r="O6" s="38" t="s">
        <v>12</v>
      </c>
      <c r="P6" s="41">
        <v>39924592.848052889</v>
      </c>
      <c r="Q6" s="42">
        <f t="shared" si="4"/>
        <v>3825814402</v>
      </c>
      <c r="R6" s="171">
        <f t="shared" si="1"/>
        <v>-0.13158337580000001</v>
      </c>
      <c r="S6" s="42">
        <f>I6-P6</f>
        <v>1792485.9232140407</v>
      </c>
      <c r="T6" s="185">
        <f t="shared" si="3"/>
        <v>4.4896786550484756E-2</v>
      </c>
    </row>
    <row r="7" spans="1:23" x14ac:dyDescent="0.25">
      <c r="A7" s="45" t="s">
        <v>16</v>
      </c>
      <c r="B7" s="45" t="s">
        <v>9</v>
      </c>
      <c r="C7" s="144">
        <v>19882432923</v>
      </c>
      <c r="D7" s="147" t="s">
        <v>10</v>
      </c>
      <c r="E7" s="148">
        <v>1000</v>
      </c>
      <c r="F7" s="153" t="s">
        <v>11</v>
      </c>
      <c r="G7" s="175">
        <v>0.1805433984</v>
      </c>
      <c r="H7" s="158" t="s">
        <v>12</v>
      </c>
      <c r="I7" s="162">
        <f t="shared" si="0"/>
        <v>3589642.0083784657</v>
      </c>
      <c r="J7" s="129">
        <v>17379154722</v>
      </c>
      <c r="K7" s="54" t="s">
        <v>10</v>
      </c>
      <c r="L7" s="55">
        <v>1000</v>
      </c>
      <c r="M7" s="55" t="s">
        <v>11</v>
      </c>
      <c r="N7" s="180">
        <v>0.1996523056</v>
      </c>
      <c r="O7" s="54" t="s">
        <v>12</v>
      </c>
      <c r="P7" s="57">
        <v>3469788.309626427</v>
      </c>
      <c r="Q7" s="58">
        <f t="shared" si="4"/>
        <v>2503278201</v>
      </c>
      <c r="R7" s="172">
        <f t="shared" si="1"/>
        <v>-1.9108907199999997E-2</v>
      </c>
      <c r="S7" s="58">
        <f t="shared" si="2"/>
        <v>119853.69875203865</v>
      </c>
      <c r="T7" s="186">
        <f t="shared" si="3"/>
        <v>3.4542078091485254E-2</v>
      </c>
    </row>
    <row r="8" spans="1:23" x14ac:dyDescent="0.25">
      <c r="A8" s="61" t="s">
        <v>17</v>
      </c>
      <c r="B8" s="61" t="s">
        <v>9</v>
      </c>
      <c r="C8" s="143">
        <v>60407929114</v>
      </c>
      <c r="D8" s="145" t="s">
        <v>10</v>
      </c>
      <c r="E8" s="146">
        <v>1000</v>
      </c>
      <c r="F8" s="152" t="s">
        <v>11</v>
      </c>
      <c r="G8" s="174">
        <v>0.3635801481</v>
      </c>
      <c r="H8" s="157" t="s">
        <v>12</v>
      </c>
      <c r="I8" s="161">
        <f t="shared" si="0"/>
        <v>21963123.813682422</v>
      </c>
      <c r="J8" s="128">
        <v>53076171102</v>
      </c>
      <c r="K8" s="38" t="s">
        <v>10</v>
      </c>
      <c r="L8" s="39">
        <v>1000</v>
      </c>
      <c r="M8" s="39" t="s">
        <v>11</v>
      </c>
      <c r="N8" s="179">
        <v>0.39454773269999999</v>
      </c>
      <c r="O8" s="38" t="s">
        <v>12</v>
      </c>
      <c r="P8" s="41">
        <v>20941082.96869136</v>
      </c>
      <c r="Q8" s="42">
        <f t="shared" si="4"/>
        <v>7331758012</v>
      </c>
      <c r="R8" s="171">
        <f t="shared" si="1"/>
        <v>-3.0967584599999987E-2</v>
      </c>
      <c r="S8" s="42">
        <f t="shared" si="2"/>
        <v>1022040.8449910618</v>
      </c>
      <c r="T8" s="185">
        <f t="shared" si="3"/>
        <v>4.8805539165242641E-2</v>
      </c>
    </row>
    <row r="9" spans="1:23" ht="30.75" thickBot="1" x14ac:dyDescent="0.3">
      <c r="A9" s="77" t="s">
        <v>18</v>
      </c>
      <c r="B9" s="61" t="s">
        <v>19</v>
      </c>
      <c r="C9" s="144">
        <v>21898134833</v>
      </c>
      <c r="D9" s="147" t="s">
        <v>10</v>
      </c>
      <c r="E9" s="148">
        <v>1000</v>
      </c>
      <c r="F9" s="153" t="s">
        <v>11</v>
      </c>
      <c r="G9" s="175">
        <v>0.14734017420000001</v>
      </c>
      <c r="H9" s="158" t="s">
        <v>12</v>
      </c>
      <c r="I9" s="162">
        <f t="shared" si="0"/>
        <v>3226475.0009493083</v>
      </c>
      <c r="J9" s="129">
        <v>19425360221</v>
      </c>
      <c r="K9" s="54" t="s">
        <v>10</v>
      </c>
      <c r="L9" s="55">
        <v>1000</v>
      </c>
      <c r="M9" s="55" t="s">
        <v>11</v>
      </c>
      <c r="N9" s="180">
        <v>0.17594896369999999</v>
      </c>
      <c r="O9" s="54" t="s">
        <v>12</v>
      </c>
      <c r="P9" s="57">
        <v>3417872.0003841529</v>
      </c>
      <c r="Q9" s="58">
        <f t="shared" si="4"/>
        <v>2472774612</v>
      </c>
      <c r="R9" s="172">
        <f t="shared" si="1"/>
        <v>-2.8608789499999981E-2</v>
      </c>
      <c r="S9" s="58">
        <f t="shared" si="2"/>
        <v>-191396.99943484459</v>
      </c>
      <c r="T9" s="186">
        <f t="shared" si="3"/>
        <v>-5.5998878662902665E-2</v>
      </c>
    </row>
    <row r="10" spans="1:23" ht="15.75" thickBot="1" x14ac:dyDescent="0.3">
      <c r="A10" s="78" t="s">
        <v>20</v>
      </c>
      <c r="B10" s="79"/>
      <c r="C10" s="142"/>
      <c r="D10" s="149"/>
      <c r="E10" s="150"/>
      <c r="F10" s="154"/>
      <c r="G10" s="176"/>
      <c r="H10" s="159"/>
      <c r="I10" s="163"/>
      <c r="J10" s="80"/>
      <c r="K10" s="85"/>
      <c r="L10" s="82"/>
      <c r="M10" s="82"/>
      <c r="N10" s="181"/>
      <c r="O10" s="85"/>
      <c r="P10" s="86"/>
      <c r="Q10" s="86"/>
      <c r="R10" s="173"/>
      <c r="S10" s="86"/>
      <c r="T10" s="187"/>
    </row>
    <row r="11" spans="1:23" x14ac:dyDescent="0.25">
      <c r="A11" s="12" t="s">
        <v>21</v>
      </c>
      <c r="B11" s="12" t="s">
        <v>9</v>
      </c>
      <c r="C11" s="143">
        <v>2313732400</v>
      </c>
      <c r="D11" s="145" t="s">
        <v>10</v>
      </c>
      <c r="E11" s="146">
        <v>1000</v>
      </c>
      <c r="F11" s="152" t="s">
        <v>11</v>
      </c>
      <c r="G11" s="174">
        <v>1.3717951782</v>
      </c>
      <c r="H11" s="157" t="s">
        <v>12</v>
      </c>
      <c r="I11" s="161">
        <f t="shared" ref="I11:I24" si="5">C11/E11*G11</f>
        <v>3173966.9499651133</v>
      </c>
      <c r="J11" s="128">
        <v>2033273795</v>
      </c>
      <c r="K11" s="38" t="s">
        <v>10</v>
      </c>
      <c r="L11" s="39">
        <v>1000</v>
      </c>
      <c r="M11" s="39" t="s">
        <v>11</v>
      </c>
      <c r="N11" s="179">
        <v>1.5014265552999999</v>
      </c>
      <c r="O11" s="38" t="s">
        <v>12</v>
      </c>
      <c r="P11" s="41">
        <v>3052811.2700086082</v>
      </c>
      <c r="Q11" s="42">
        <f t="shared" ref="Q11:Q24" si="6">C11-J11</f>
        <v>280458605</v>
      </c>
      <c r="R11" s="171">
        <f t="shared" ref="R11:R24" si="7">G11-N11</f>
        <v>-0.12963137709999994</v>
      </c>
      <c r="S11" s="42">
        <f t="shared" ref="S11:S24" si="8">I11-P11</f>
        <v>121155.67995650508</v>
      </c>
      <c r="T11" s="185">
        <f t="shared" si="3"/>
        <v>3.9686593516854857E-2</v>
      </c>
    </row>
    <row r="12" spans="1:23" x14ac:dyDescent="0.25">
      <c r="A12" s="29" t="s">
        <v>22</v>
      </c>
      <c r="B12" s="29" t="s">
        <v>9</v>
      </c>
      <c r="C12" s="144">
        <v>4662881166</v>
      </c>
      <c r="D12" s="147" t="s">
        <v>10</v>
      </c>
      <c r="E12" s="148">
        <v>1000</v>
      </c>
      <c r="F12" s="153" t="s">
        <v>11</v>
      </c>
      <c r="G12" s="175">
        <f>2.6711848547+0.0026664308</f>
        <v>2.6738512855000001</v>
      </c>
      <c r="H12" s="158" t="s">
        <v>12</v>
      </c>
      <c r="I12" s="162">
        <f t="shared" si="5"/>
        <v>12467850.79984284</v>
      </c>
      <c r="J12" s="127">
        <v>4151141637</v>
      </c>
      <c r="K12" s="54" t="s">
        <v>10</v>
      </c>
      <c r="L12" s="55">
        <v>1000</v>
      </c>
      <c r="M12" s="55" t="s">
        <v>11</v>
      </c>
      <c r="N12" s="180">
        <v>2.8900889006999999</v>
      </c>
      <c r="O12" s="54" t="s">
        <v>12</v>
      </c>
      <c r="P12" s="57">
        <v>11997168.370327329</v>
      </c>
      <c r="Q12" s="58">
        <f t="shared" si="6"/>
        <v>511739529</v>
      </c>
      <c r="R12" s="172">
        <f t="shared" si="7"/>
        <v>-0.21623761519999984</v>
      </c>
      <c r="S12" s="58">
        <f t="shared" si="8"/>
        <v>470682.4295155108</v>
      </c>
      <c r="T12" s="186">
        <f t="shared" si="3"/>
        <v>3.9232793521482331E-2</v>
      </c>
    </row>
    <row r="13" spans="1:23" x14ac:dyDescent="0.25">
      <c r="A13" s="29" t="s">
        <v>23</v>
      </c>
      <c r="B13" s="29" t="s">
        <v>9</v>
      </c>
      <c r="C13" s="143">
        <v>4662881166</v>
      </c>
      <c r="D13" s="145" t="s">
        <v>10</v>
      </c>
      <c r="E13" s="146">
        <v>1000</v>
      </c>
      <c r="F13" s="152" t="s">
        <v>11</v>
      </c>
      <c r="G13" s="174">
        <v>0.46</v>
      </c>
      <c r="H13" s="157" t="s">
        <v>12</v>
      </c>
      <c r="I13" s="161">
        <f t="shared" si="5"/>
        <v>2144925.3363600001</v>
      </c>
      <c r="J13" s="128">
        <v>4151141637</v>
      </c>
      <c r="K13" s="38" t="s">
        <v>10</v>
      </c>
      <c r="L13" s="39">
        <v>1000</v>
      </c>
      <c r="M13" s="39" t="s">
        <v>11</v>
      </c>
      <c r="N13" s="179">
        <v>0.34550148260000002</v>
      </c>
      <c r="O13" s="38" t="s">
        <v>12</v>
      </c>
      <c r="P13" s="41">
        <v>1434225.5900660912</v>
      </c>
      <c r="Q13" s="42">
        <f t="shared" si="6"/>
        <v>511739529</v>
      </c>
      <c r="R13" s="171">
        <f t="shared" si="7"/>
        <v>0.1144985174</v>
      </c>
      <c r="S13" s="42">
        <f t="shared" si="8"/>
        <v>710699.74629390892</v>
      </c>
      <c r="T13" s="185">
        <f t="shared" si="3"/>
        <v>0.49552856343970186</v>
      </c>
    </row>
    <row r="14" spans="1:23" x14ac:dyDescent="0.25">
      <c r="A14" s="29" t="s">
        <v>24</v>
      </c>
      <c r="B14" s="29" t="s">
        <v>19</v>
      </c>
      <c r="C14" s="144">
        <f>4641211806+22068</f>
        <v>4641233874</v>
      </c>
      <c r="D14" s="147" t="s">
        <v>10</v>
      </c>
      <c r="E14" s="148">
        <v>1000</v>
      </c>
      <c r="F14" s="153" t="s">
        <v>11</v>
      </c>
      <c r="G14" s="175">
        <v>0.13143056710000001</v>
      </c>
      <c r="H14" s="158" t="s">
        <v>12</v>
      </c>
      <c r="I14" s="162">
        <f t="shared" si="5"/>
        <v>610000.00010354992</v>
      </c>
      <c r="J14" s="129">
        <v>4134466038</v>
      </c>
      <c r="K14" s="54" t="s">
        <v>10</v>
      </c>
      <c r="L14" s="55">
        <v>1000</v>
      </c>
      <c r="M14" s="55" t="s">
        <v>11</v>
      </c>
      <c r="N14" s="180">
        <v>0.149958905</v>
      </c>
      <c r="O14" s="54" t="s">
        <v>12</v>
      </c>
      <c r="P14" s="57">
        <v>619999.99981816846</v>
      </c>
      <c r="Q14" s="58">
        <f t="shared" si="6"/>
        <v>506767836</v>
      </c>
      <c r="R14" s="172">
        <f t="shared" si="7"/>
        <v>-1.8528337899999997E-2</v>
      </c>
      <c r="S14" s="58">
        <f t="shared" si="8"/>
        <v>-9999.9997146185488</v>
      </c>
      <c r="T14" s="186">
        <f t="shared" si="3"/>
        <v>-1.6129031802502122E-2</v>
      </c>
      <c r="W14" s="130"/>
    </row>
    <row r="15" spans="1:23" x14ac:dyDescent="0.25">
      <c r="A15" s="45" t="s">
        <v>25</v>
      </c>
      <c r="B15" s="45" t="s">
        <v>9</v>
      </c>
      <c r="C15" s="143">
        <v>440968825</v>
      </c>
      <c r="D15" s="145" t="s">
        <v>10</v>
      </c>
      <c r="E15" s="146">
        <v>1000</v>
      </c>
      <c r="F15" s="152" t="s">
        <v>11</v>
      </c>
      <c r="G15" s="174">
        <v>1.0650118861</v>
      </c>
      <c r="H15" s="157" t="s">
        <v>12</v>
      </c>
      <c r="I15" s="161">
        <f t="shared" si="5"/>
        <v>469637.04002455081</v>
      </c>
      <c r="J15" s="128">
        <v>370805513</v>
      </c>
      <c r="K15" s="38" t="s">
        <v>10</v>
      </c>
      <c r="L15" s="39">
        <v>1000</v>
      </c>
      <c r="M15" s="39" t="s">
        <v>11</v>
      </c>
      <c r="N15" s="179">
        <v>1.1796279306999999</v>
      </c>
      <c r="O15" s="38" t="s">
        <v>12</v>
      </c>
      <c r="P15" s="41">
        <v>437412.53999234189</v>
      </c>
      <c r="Q15" s="42">
        <f t="shared" si="6"/>
        <v>70163312</v>
      </c>
      <c r="R15" s="171">
        <f t="shared" si="7"/>
        <v>-0.11461604459999997</v>
      </c>
      <c r="S15" s="42">
        <f t="shared" si="8"/>
        <v>32224.500032208918</v>
      </c>
      <c r="T15" s="185">
        <f t="shared" si="3"/>
        <v>7.3670727484797527E-2</v>
      </c>
      <c r="W15" s="130"/>
    </row>
    <row r="16" spans="1:23" x14ac:dyDescent="0.25">
      <c r="A16" s="45" t="s">
        <v>26</v>
      </c>
      <c r="B16" s="45" t="s">
        <v>9</v>
      </c>
      <c r="C16" s="144">
        <v>1463452195</v>
      </c>
      <c r="D16" s="147" t="s">
        <v>10</v>
      </c>
      <c r="E16" s="148">
        <v>1000</v>
      </c>
      <c r="F16" s="153" t="s">
        <v>11</v>
      </c>
      <c r="G16" s="175">
        <v>0.85722772790000001</v>
      </c>
      <c r="H16" s="158" t="s">
        <v>12</v>
      </c>
      <c r="I16" s="162">
        <f t="shared" si="5"/>
        <v>1254511.8000101177</v>
      </c>
      <c r="J16" s="129">
        <v>1216398789</v>
      </c>
      <c r="K16" s="54" t="s">
        <v>10</v>
      </c>
      <c r="L16" s="55">
        <v>1000</v>
      </c>
      <c r="M16" s="55" t="s">
        <v>11</v>
      </c>
      <c r="N16" s="180">
        <v>0.93698080780000004</v>
      </c>
      <c r="O16" s="54" t="s">
        <v>12</v>
      </c>
      <c r="P16" s="57">
        <v>1139742.319924162</v>
      </c>
      <c r="Q16" s="58">
        <f t="shared" si="6"/>
        <v>247053406</v>
      </c>
      <c r="R16" s="172">
        <f t="shared" si="7"/>
        <v>-7.9753079900000023E-2</v>
      </c>
      <c r="S16" s="58">
        <f t="shared" si="8"/>
        <v>114769.4800859557</v>
      </c>
      <c r="T16" s="186">
        <f t="shared" si="3"/>
        <v>0.10069774376158325</v>
      </c>
    </row>
    <row r="17" spans="1:22" x14ac:dyDescent="0.25">
      <c r="A17" s="118" t="s">
        <v>27</v>
      </c>
      <c r="B17" s="29" t="s">
        <v>9</v>
      </c>
      <c r="C17" s="143">
        <v>23658991510</v>
      </c>
      <c r="D17" s="145" t="s">
        <v>10</v>
      </c>
      <c r="E17" s="146">
        <v>1000</v>
      </c>
      <c r="F17" s="152" t="s">
        <v>11</v>
      </c>
      <c r="G17" s="174">
        <v>2.1142817469000001</v>
      </c>
      <c r="H17" s="157" t="s">
        <v>12</v>
      </c>
      <c r="I17" s="161">
        <f t="shared" si="5"/>
        <v>50021773.899655074</v>
      </c>
      <c r="J17" s="128">
        <v>20979612099</v>
      </c>
      <c r="K17" s="38" t="s">
        <v>10</v>
      </c>
      <c r="L17" s="39">
        <v>1000</v>
      </c>
      <c r="M17" s="39" t="s">
        <v>11</v>
      </c>
      <c r="N17" s="179">
        <v>2.3246609012000001</v>
      </c>
      <c r="O17" s="38" t="s">
        <v>12</v>
      </c>
      <c r="P17" s="41">
        <v>48770483.968887769</v>
      </c>
      <c r="Q17" s="42">
        <f t="shared" si="6"/>
        <v>2679379411</v>
      </c>
      <c r="R17" s="171">
        <f t="shared" si="7"/>
        <v>-0.21037915429999998</v>
      </c>
      <c r="S17" s="42">
        <f t="shared" si="8"/>
        <v>1251289.9307673052</v>
      </c>
      <c r="T17" s="185">
        <f t="shared" si="3"/>
        <v>2.5656705222887322E-2</v>
      </c>
    </row>
    <row r="18" spans="1:22" x14ac:dyDescent="0.25">
      <c r="A18" s="118" t="s">
        <v>108</v>
      </c>
      <c r="B18" s="118" t="s">
        <v>9</v>
      </c>
      <c r="C18" s="144">
        <v>23658991510</v>
      </c>
      <c r="D18" s="147"/>
      <c r="E18" s="148">
        <v>1000</v>
      </c>
      <c r="F18" s="153" t="s">
        <v>11</v>
      </c>
      <c r="G18" s="175">
        <v>0.25360337090000001</v>
      </c>
      <c r="H18" s="158" t="s">
        <v>12</v>
      </c>
      <c r="I18" s="162">
        <f t="shared" si="5"/>
        <v>5999999.999030482</v>
      </c>
      <c r="J18" s="129">
        <v>20979612099</v>
      </c>
      <c r="K18" s="54"/>
      <c r="L18" s="55">
        <v>1000</v>
      </c>
      <c r="M18" s="55" t="s">
        <v>11</v>
      </c>
      <c r="N18" s="180">
        <v>0.28625981560000002</v>
      </c>
      <c r="O18" s="54" t="s">
        <v>12</v>
      </c>
      <c r="P18" s="57">
        <v>6005619.8908192692</v>
      </c>
      <c r="Q18" s="58">
        <f t="shared" si="6"/>
        <v>2679379411</v>
      </c>
      <c r="R18" s="172">
        <f t="shared" si="7"/>
        <v>-3.2656444700000009E-2</v>
      </c>
      <c r="S18" s="58">
        <f t="shared" si="8"/>
        <v>-5619.8917887872085</v>
      </c>
      <c r="T18" s="186">
        <f t="shared" si="3"/>
        <v>-9.3577214191965102E-4</v>
      </c>
    </row>
    <row r="19" spans="1:22" x14ac:dyDescent="0.25">
      <c r="A19" s="45" t="s">
        <v>28</v>
      </c>
      <c r="B19" s="45" t="s">
        <v>9</v>
      </c>
      <c r="C19" s="143">
        <v>2118548018</v>
      </c>
      <c r="D19" s="145" t="s">
        <v>10</v>
      </c>
      <c r="E19" s="146">
        <v>1000</v>
      </c>
      <c r="F19" s="152" t="s">
        <v>11</v>
      </c>
      <c r="G19" s="174">
        <f>2.1439079839+0.0100817446</f>
        <v>2.1539897285</v>
      </c>
      <c r="H19" s="157" t="s">
        <v>12</v>
      </c>
      <c r="I19" s="161">
        <f>C19/E19*G19</f>
        <v>4563330.6701060338</v>
      </c>
      <c r="J19" s="128">
        <v>1912847409</v>
      </c>
      <c r="K19" s="38" t="s">
        <v>10</v>
      </c>
      <c r="L19" s="39">
        <v>1000</v>
      </c>
      <c r="M19" s="39" t="s">
        <v>11</v>
      </c>
      <c r="N19" s="179">
        <v>2.3136108552999999</v>
      </c>
      <c r="O19" s="38" t="s">
        <v>12</v>
      </c>
      <c r="P19" s="41">
        <v>4425584.5299948789</v>
      </c>
      <c r="Q19" s="42">
        <f>C19-J19</f>
        <v>205700609</v>
      </c>
      <c r="R19" s="171">
        <f t="shared" si="7"/>
        <v>-0.15962112679999985</v>
      </c>
      <c r="S19" s="42">
        <f t="shared" si="8"/>
        <v>137746.14011115488</v>
      </c>
      <c r="T19" s="185">
        <f t="shared" si="3"/>
        <v>3.1124959692344703E-2</v>
      </c>
    </row>
    <row r="20" spans="1:22" x14ac:dyDescent="0.25">
      <c r="A20" s="29" t="s">
        <v>29</v>
      </c>
      <c r="B20" s="29" t="s">
        <v>9</v>
      </c>
      <c r="C20" s="144">
        <v>2118548018</v>
      </c>
      <c r="D20" s="147" t="s">
        <v>10</v>
      </c>
      <c r="E20" s="148">
        <v>1000</v>
      </c>
      <c r="F20" s="153" t="s">
        <v>11</v>
      </c>
      <c r="G20" s="175">
        <v>0.4640514785</v>
      </c>
      <c r="H20" s="158" t="s">
        <v>12</v>
      </c>
      <c r="I20" s="162">
        <f>C20/E20*G20</f>
        <v>983115.34002614464</v>
      </c>
      <c r="J20" s="127">
        <v>1912847409</v>
      </c>
      <c r="K20" s="54" t="s">
        <v>10</v>
      </c>
      <c r="L20" s="55">
        <v>1000</v>
      </c>
      <c r="M20" s="55" t="s">
        <v>11</v>
      </c>
      <c r="N20" s="170">
        <v>0.5</v>
      </c>
      <c r="O20" s="54" t="s">
        <v>12</v>
      </c>
      <c r="P20" s="57">
        <v>956423.70449999999</v>
      </c>
      <c r="Q20" s="58">
        <f t="shared" ref="Q20" si="9">C20-J20</f>
        <v>205700609</v>
      </c>
      <c r="R20" s="172">
        <f>G20-N20</f>
        <v>-3.5948521499999997E-2</v>
      </c>
      <c r="S20" s="58">
        <f>I20-P20</f>
        <v>26691.635526144644</v>
      </c>
      <c r="T20" s="186">
        <f t="shared" si="3"/>
        <v>2.7907751972854458E-2</v>
      </c>
    </row>
    <row r="21" spans="1:22" x14ac:dyDescent="0.25">
      <c r="A21" s="45" t="s">
        <v>30</v>
      </c>
      <c r="B21" s="45" t="s">
        <v>19</v>
      </c>
      <c r="C21" s="143">
        <v>2098141569</v>
      </c>
      <c r="D21" s="145" t="s">
        <v>10</v>
      </c>
      <c r="E21" s="146">
        <v>1000</v>
      </c>
      <c r="F21" s="152" t="s">
        <v>11</v>
      </c>
      <c r="G21" s="174">
        <v>4.0512042300000002E-2</v>
      </c>
      <c r="H21" s="157" t="s">
        <v>12</v>
      </c>
      <c r="I21" s="161">
        <f t="shared" si="5"/>
        <v>84999.999994716374</v>
      </c>
      <c r="J21" s="128">
        <v>1894873720</v>
      </c>
      <c r="K21" s="38" t="s">
        <v>10</v>
      </c>
      <c r="L21" s="39">
        <v>1000</v>
      </c>
      <c r="M21" s="39" t="s">
        <v>11</v>
      </c>
      <c r="N21" s="179">
        <v>4.2219172300000003E-2</v>
      </c>
      <c r="O21" s="38" t="s">
        <v>12</v>
      </c>
      <c r="P21" s="41">
        <v>80000.000071421964</v>
      </c>
      <c r="Q21" s="42">
        <f t="shared" si="6"/>
        <v>203267849</v>
      </c>
      <c r="R21" s="171">
        <f t="shared" si="7"/>
        <v>-1.7071300000000011E-3</v>
      </c>
      <c r="S21" s="42">
        <f t="shared" si="8"/>
        <v>4999.9999232944101</v>
      </c>
      <c r="T21" s="185">
        <f t="shared" si="3"/>
        <v>6.2499998985381715E-2</v>
      </c>
    </row>
    <row r="22" spans="1:22" x14ac:dyDescent="0.25">
      <c r="A22" s="29" t="s">
        <v>31</v>
      </c>
      <c r="B22" s="29" t="s">
        <v>9</v>
      </c>
      <c r="C22" s="144">
        <v>9439992</v>
      </c>
      <c r="D22" s="147" t="s">
        <v>10</v>
      </c>
      <c r="E22" s="148">
        <v>1000</v>
      </c>
      <c r="F22" s="153" t="s">
        <v>11</v>
      </c>
      <c r="G22" s="175">
        <v>1.8425130000000001</v>
      </c>
      <c r="H22" s="158" t="s">
        <v>12</v>
      </c>
      <c r="I22" s="162">
        <f t="shared" si="5"/>
        <v>17393.307979896003</v>
      </c>
      <c r="J22" s="129">
        <v>8464018</v>
      </c>
      <c r="K22" s="54" t="s">
        <v>10</v>
      </c>
      <c r="L22" s="55">
        <v>1000</v>
      </c>
      <c r="M22" s="55" t="s">
        <v>11</v>
      </c>
      <c r="N22" s="180">
        <v>1.93041</v>
      </c>
      <c r="O22" s="54" t="s">
        <v>12</v>
      </c>
      <c r="P22" s="57">
        <v>16339.02498738</v>
      </c>
      <c r="Q22" s="58">
        <f t="shared" si="6"/>
        <v>975974</v>
      </c>
      <c r="R22" s="172">
        <f t="shared" si="7"/>
        <v>-8.7896999999999892E-2</v>
      </c>
      <c r="S22" s="58">
        <f t="shared" si="8"/>
        <v>1054.2829925160022</v>
      </c>
      <c r="T22" s="186">
        <f t="shared" si="3"/>
        <v>6.4525453221983164E-2</v>
      </c>
    </row>
    <row r="23" spans="1:22" x14ac:dyDescent="0.25">
      <c r="A23" s="45" t="s">
        <v>85</v>
      </c>
      <c r="B23" s="45" t="s">
        <v>9</v>
      </c>
      <c r="C23" s="143">
        <v>131143137</v>
      </c>
      <c r="D23" s="145" t="s">
        <v>10</v>
      </c>
      <c r="E23" s="146">
        <v>1000</v>
      </c>
      <c r="F23" s="152" t="s">
        <v>11</v>
      </c>
      <c r="G23" s="174">
        <f>1.6571423787+0.0002801519</f>
        <v>1.6574225305999999</v>
      </c>
      <c r="H23" s="157" t="s">
        <v>12</v>
      </c>
      <c r="I23" s="161">
        <f t="shared" si="5"/>
        <v>217359.58999736246</v>
      </c>
      <c r="J23" s="128">
        <v>108930844</v>
      </c>
      <c r="K23" s="38" t="s">
        <v>10</v>
      </c>
      <c r="L23" s="39">
        <v>1000</v>
      </c>
      <c r="M23" s="39" t="s">
        <v>11</v>
      </c>
      <c r="N23" s="179">
        <v>1.8424900848000001</v>
      </c>
      <c r="O23" s="38" t="s">
        <v>12</v>
      </c>
      <c r="P23" s="41">
        <v>200703.99999889557</v>
      </c>
      <c r="Q23" s="42">
        <f t="shared" si="6"/>
        <v>22212293</v>
      </c>
      <c r="R23" s="171">
        <f t="shared" si="7"/>
        <v>-0.18506755420000021</v>
      </c>
      <c r="S23" s="42">
        <f t="shared" si="8"/>
        <v>16655.589998466894</v>
      </c>
      <c r="T23" s="185">
        <f t="shared" si="3"/>
        <v>8.2985839836568015E-2</v>
      </c>
    </row>
    <row r="24" spans="1:22" x14ac:dyDescent="0.25">
      <c r="A24" s="118" t="s">
        <v>86</v>
      </c>
      <c r="B24" s="29" t="s">
        <v>9</v>
      </c>
      <c r="C24" s="144">
        <v>131143137</v>
      </c>
      <c r="D24" s="147" t="s">
        <v>10</v>
      </c>
      <c r="E24" s="148">
        <v>1000</v>
      </c>
      <c r="F24" s="153" t="s">
        <v>11</v>
      </c>
      <c r="G24" s="175">
        <v>0.36735349709999998</v>
      </c>
      <c r="H24" s="158" t="s">
        <v>12</v>
      </c>
      <c r="I24" s="162">
        <f t="shared" si="5"/>
        <v>48175.889997614395</v>
      </c>
      <c r="J24" s="129">
        <v>108930844</v>
      </c>
      <c r="K24" s="54" t="s">
        <v>10</v>
      </c>
      <c r="L24" s="55">
        <v>1000</v>
      </c>
      <c r="M24" s="55" t="s">
        <v>11</v>
      </c>
      <c r="N24" s="180">
        <v>0.40844134100000001</v>
      </c>
      <c r="O24" s="54" t="s">
        <v>12</v>
      </c>
      <c r="P24" s="57">
        <v>44491.859999621804</v>
      </c>
      <c r="Q24" s="58">
        <f t="shared" si="6"/>
        <v>22212293</v>
      </c>
      <c r="R24" s="172">
        <f t="shared" si="7"/>
        <v>-4.1087843900000032E-2</v>
      </c>
      <c r="S24" s="58">
        <f t="shared" si="8"/>
        <v>3684.0299979925912</v>
      </c>
      <c r="T24" s="186">
        <f t="shared" si="3"/>
        <v>8.2802337282008587E-2</v>
      </c>
    </row>
    <row r="25" spans="1:22" ht="15.75" thickBot="1" x14ac:dyDescent="0.3">
      <c r="A25" s="140" t="s">
        <v>110</v>
      </c>
      <c r="B25" s="29" t="s">
        <v>19</v>
      </c>
      <c r="C25" s="166" t="s">
        <v>114</v>
      </c>
      <c r="D25" s="145"/>
      <c r="E25" s="146">
        <v>1000</v>
      </c>
      <c r="F25" s="152" t="s">
        <v>11</v>
      </c>
      <c r="G25" s="174">
        <v>0</v>
      </c>
      <c r="H25" s="157" t="s">
        <v>12</v>
      </c>
      <c r="I25" s="161">
        <v>0</v>
      </c>
      <c r="J25" s="128">
        <v>107701671</v>
      </c>
      <c r="K25" s="38"/>
      <c r="L25" s="39">
        <v>1000</v>
      </c>
      <c r="M25" s="39" t="s">
        <v>11</v>
      </c>
      <c r="N25" s="179">
        <v>1.2421905691999999</v>
      </c>
      <c r="O25" s="38" t="s">
        <v>12</v>
      </c>
      <c r="P25" s="41">
        <v>133786.00000328114</v>
      </c>
      <c r="Q25" s="167" t="s">
        <v>114</v>
      </c>
      <c r="R25" s="171">
        <f>G25-N25</f>
        <v>-1.2421905691999999</v>
      </c>
      <c r="S25" s="42">
        <v>-133786.00000328099</v>
      </c>
      <c r="T25" s="185">
        <f t="shared" si="3"/>
        <v>-1</v>
      </c>
    </row>
    <row r="26" spans="1:22" ht="15.75" thickBot="1" x14ac:dyDescent="0.3">
      <c r="A26" s="78" t="s">
        <v>32</v>
      </c>
      <c r="B26" s="79"/>
      <c r="C26" s="142"/>
      <c r="D26" s="149"/>
      <c r="E26" s="150"/>
      <c r="F26" s="154"/>
      <c r="G26" s="176"/>
      <c r="H26" s="159"/>
      <c r="I26" s="159"/>
      <c r="J26" s="80"/>
      <c r="K26" s="80"/>
      <c r="L26" s="80"/>
      <c r="M26" s="80"/>
      <c r="N26" s="181"/>
      <c r="O26" s="80"/>
      <c r="P26" s="80"/>
      <c r="Q26" s="86"/>
      <c r="R26" s="173"/>
      <c r="S26" s="86"/>
      <c r="T26" s="187"/>
    </row>
    <row r="27" spans="1:22" x14ac:dyDescent="0.25">
      <c r="A27" s="89" t="s">
        <v>115</v>
      </c>
      <c r="B27" s="89" t="s">
        <v>19</v>
      </c>
      <c r="C27" s="143">
        <f>20339539467+19456</f>
        <v>20339558923</v>
      </c>
      <c r="D27" s="145" t="s">
        <v>10</v>
      </c>
      <c r="E27" s="146">
        <v>1000</v>
      </c>
      <c r="F27" s="152" t="s">
        <v>11</v>
      </c>
      <c r="G27" s="174">
        <v>1.5</v>
      </c>
      <c r="H27" s="157" t="s">
        <v>12</v>
      </c>
      <c r="I27" s="161">
        <f>C27/E27*G27</f>
        <v>30509338.384500001</v>
      </c>
      <c r="J27" s="128">
        <v>17930771166</v>
      </c>
      <c r="K27" s="38" t="s">
        <v>10</v>
      </c>
      <c r="L27" s="39">
        <v>1000</v>
      </c>
      <c r="M27" s="39" t="s">
        <v>11</v>
      </c>
      <c r="N27" s="179">
        <v>2.6379233532000002</v>
      </c>
      <c r="O27" s="38" t="s">
        <v>12</v>
      </c>
      <c r="P27" s="41">
        <v>47453083.969676599</v>
      </c>
      <c r="Q27" s="42">
        <f>C27-J27</f>
        <v>2408787757</v>
      </c>
      <c r="R27" s="171">
        <f t="shared" ref="R27:R50" si="10">G27-N27</f>
        <v>-1.1379233532000002</v>
      </c>
      <c r="S27" s="42">
        <f>I27-P27</f>
        <v>-16943745.585176598</v>
      </c>
      <c r="T27" s="185">
        <f t="shared" si="3"/>
        <v>-0.35706310670986036</v>
      </c>
      <c r="V27" s="130"/>
    </row>
    <row r="28" spans="1:22" x14ac:dyDescent="0.25">
      <c r="A28" s="12" t="s">
        <v>34</v>
      </c>
      <c r="B28" s="45" t="s">
        <v>19</v>
      </c>
      <c r="C28" s="144">
        <v>20339539467</v>
      </c>
      <c r="D28" s="147" t="s">
        <v>10</v>
      </c>
      <c r="E28" s="148">
        <v>1000</v>
      </c>
      <c r="F28" s="153" t="s">
        <v>11</v>
      </c>
      <c r="G28" s="175">
        <v>1.4970840441</v>
      </c>
      <c r="H28" s="158" t="s">
        <v>12</v>
      </c>
      <c r="I28" s="162">
        <f t="shared" ref="I28:I50" si="11">C28/E28*G28</f>
        <v>30450000.000387918</v>
      </c>
      <c r="J28" s="129">
        <v>17930751710</v>
      </c>
      <c r="K28" s="54" t="s">
        <v>10</v>
      </c>
      <c r="L28" s="55">
        <v>1000</v>
      </c>
      <c r="M28" s="55" t="s">
        <v>11</v>
      </c>
      <c r="N28" s="180">
        <v>1.5211297575</v>
      </c>
      <c r="O28" s="54" t="s">
        <v>12</v>
      </c>
      <c r="P28" s="57">
        <v>27275000.000425011</v>
      </c>
      <c r="Q28" s="58">
        <f t="shared" ref="Q28:Q50" si="12">C28-J28</f>
        <v>2408787757</v>
      </c>
      <c r="R28" s="172">
        <f t="shared" si="10"/>
        <v>-2.4045713400000057E-2</v>
      </c>
      <c r="S28" s="58">
        <f t="shared" ref="S28:S50" si="13">I28-P28</f>
        <v>3174999.9999629073</v>
      </c>
      <c r="T28" s="186">
        <f t="shared" si="3"/>
        <v>0.11640696608298563</v>
      </c>
      <c r="U28" s="130"/>
    </row>
    <row r="29" spans="1:22" x14ac:dyDescent="0.25">
      <c r="A29" s="12" t="s">
        <v>35</v>
      </c>
      <c r="B29" s="45" t="s">
        <v>19</v>
      </c>
      <c r="C29" s="143">
        <v>20339539467</v>
      </c>
      <c r="D29" s="145" t="s">
        <v>10</v>
      </c>
      <c r="E29" s="146">
        <v>1000</v>
      </c>
      <c r="F29" s="152" t="s">
        <v>11</v>
      </c>
      <c r="G29" s="174">
        <v>0.19666128660000001</v>
      </c>
      <c r="H29" s="157" t="s">
        <v>12</v>
      </c>
      <c r="I29" s="161">
        <f t="shared" si="11"/>
        <v>4000000.0004316987</v>
      </c>
      <c r="J29" s="128">
        <v>17930751710</v>
      </c>
      <c r="K29" s="38" t="s">
        <v>10</v>
      </c>
      <c r="L29" s="39">
        <v>1000</v>
      </c>
      <c r="M29" s="39" t="s">
        <v>11</v>
      </c>
      <c r="N29" s="179">
        <v>0.2230804411</v>
      </c>
      <c r="O29" s="38" t="s">
        <v>12</v>
      </c>
      <c r="P29" s="41">
        <v>4000000.0007213796</v>
      </c>
      <c r="Q29" s="42">
        <f t="shared" si="12"/>
        <v>2408787757</v>
      </c>
      <c r="R29" s="171">
        <f t="shared" si="10"/>
        <v>-2.6419154499999986E-2</v>
      </c>
      <c r="S29" s="42">
        <f t="shared" si="13"/>
        <v>-2.8968090191483498E-4</v>
      </c>
      <c r="T29" s="185">
        <f t="shared" si="3"/>
        <v>-7.2420225465648131E-11</v>
      </c>
      <c r="V29" s="130"/>
    </row>
    <row r="30" spans="1:22" x14ac:dyDescent="0.25">
      <c r="A30" s="29" t="s">
        <v>116</v>
      </c>
      <c r="B30" s="29" t="s">
        <v>19</v>
      </c>
      <c r="C30" s="144">
        <f>3313881+41142</f>
        <v>3355023</v>
      </c>
      <c r="D30" s="147" t="s">
        <v>10</v>
      </c>
      <c r="E30" s="148">
        <v>1000</v>
      </c>
      <c r="F30" s="153" t="s">
        <v>11</v>
      </c>
      <c r="G30" s="175">
        <v>1.5</v>
      </c>
      <c r="H30" s="158" t="s">
        <v>12</v>
      </c>
      <c r="I30" s="162">
        <f t="shared" si="11"/>
        <v>5032.5344999999998</v>
      </c>
      <c r="J30" s="129">
        <v>2854724</v>
      </c>
      <c r="K30" s="54" t="s">
        <v>10</v>
      </c>
      <c r="L30" s="55">
        <v>1000</v>
      </c>
      <c r="M30" s="55" t="s">
        <v>11</v>
      </c>
      <c r="N30" s="180">
        <v>3.1356989</v>
      </c>
      <c r="O30" s="54" t="s">
        <v>12</v>
      </c>
      <c r="P30" s="57">
        <v>8951.5549066036001</v>
      </c>
      <c r="Q30" s="58">
        <f t="shared" si="12"/>
        <v>500299</v>
      </c>
      <c r="R30" s="172">
        <f t="shared" si="10"/>
        <v>-1.6356989</v>
      </c>
      <c r="S30" s="58">
        <f>I30-P30</f>
        <v>-3919.0204066036003</v>
      </c>
      <c r="T30" s="186">
        <f t="shared" si="3"/>
        <v>-0.43780331433955932</v>
      </c>
    </row>
    <row r="31" spans="1:22" x14ac:dyDescent="0.25">
      <c r="A31" s="45" t="s">
        <v>117</v>
      </c>
      <c r="B31" s="45" t="s">
        <v>19</v>
      </c>
      <c r="C31" s="143">
        <f>1578856956+6174437</f>
        <v>1585031393</v>
      </c>
      <c r="D31" s="145" t="s">
        <v>10</v>
      </c>
      <c r="E31" s="146">
        <v>1000</v>
      </c>
      <c r="F31" s="152" t="s">
        <v>11</v>
      </c>
      <c r="G31" s="174">
        <v>1.5</v>
      </c>
      <c r="H31" s="157" t="s">
        <v>12</v>
      </c>
      <c r="I31" s="161">
        <f>C31/E31*G31</f>
        <v>2377547.0894999998</v>
      </c>
      <c r="J31" s="128">
        <v>1385147766</v>
      </c>
      <c r="K31" s="38" t="s">
        <v>10</v>
      </c>
      <c r="L31" s="39">
        <v>1000</v>
      </c>
      <c r="M31" s="39" t="s">
        <v>11</v>
      </c>
      <c r="N31" s="179">
        <v>3.4166787950000002</v>
      </c>
      <c r="O31" s="38" t="s">
        <v>12</v>
      </c>
      <c r="P31" s="41">
        <v>4755206.2700338224</v>
      </c>
      <c r="Q31" s="42">
        <f t="shared" si="12"/>
        <v>199883627</v>
      </c>
      <c r="R31" s="171">
        <f t="shared" si="10"/>
        <v>-1.9166787950000002</v>
      </c>
      <c r="S31" s="42">
        <f t="shared" si="13"/>
        <v>-2377659.1805338226</v>
      </c>
      <c r="T31" s="185">
        <f t="shared" si="3"/>
        <v>-0.50001178613791464</v>
      </c>
    </row>
    <row r="32" spans="1:22" x14ac:dyDescent="0.25">
      <c r="A32" s="45" t="s">
        <v>38</v>
      </c>
      <c r="B32" s="45" t="s">
        <v>19</v>
      </c>
      <c r="C32" s="144">
        <f>1578856956+12348874</f>
        <v>1591205830</v>
      </c>
      <c r="D32" s="147" t="s">
        <v>10</v>
      </c>
      <c r="E32" s="148">
        <v>1000</v>
      </c>
      <c r="F32" s="153" t="s">
        <v>11</v>
      </c>
      <c r="G32" s="175">
        <v>1.9792222606000001</v>
      </c>
      <c r="H32" s="158" t="s">
        <v>12</v>
      </c>
      <c r="I32" s="162">
        <f t="shared" si="11"/>
        <v>3149349.9999324996</v>
      </c>
      <c r="J32" s="129">
        <v>1392541763</v>
      </c>
      <c r="K32" s="54" t="s">
        <v>10</v>
      </c>
      <c r="L32" s="55">
        <v>1000</v>
      </c>
      <c r="M32" s="55" t="s">
        <v>11</v>
      </c>
      <c r="N32" s="180">
        <v>2.1973847258000001</v>
      </c>
      <c r="O32" s="54" t="s">
        <v>12</v>
      </c>
      <c r="P32" s="57">
        <v>3059950.0000548037</v>
      </c>
      <c r="Q32" s="58">
        <f t="shared" si="12"/>
        <v>198664067</v>
      </c>
      <c r="R32" s="172">
        <f t="shared" si="10"/>
        <v>-0.21816246520000004</v>
      </c>
      <c r="S32" s="58">
        <f t="shared" si="13"/>
        <v>89399.999877695926</v>
      </c>
      <c r="T32" s="186">
        <f t="shared" si="3"/>
        <v>2.9216163622312382E-2</v>
      </c>
      <c r="U32" s="130"/>
      <c r="V32" s="130"/>
    </row>
    <row r="33" spans="1:22" x14ac:dyDescent="0.25">
      <c r="A33" s="29" t="s">
        <v>118</v>
      </c>
      <c r="B33" s="29" t="s">
        <v>19</v>
      </c>
      <c r="C33" s="144">
        <f>1278343111+1235693</f>
        <v>1279578804</v>
      </c>
      <c r="D33" s="147" t="s">
        <v>10</v>
      </c>
      <c r="E33" s="148">
        <v>1000</v>
      </c>
      <c r="F33" s="153" t="s">
        <v>11</v>
      </c>
      <c r="G33" s="175">
        <v>1.5</v>
      </c>
      <c r="H33" s="158" t="s">
        <v>12</v>
      </c>
      <c r="I33" s="162">
        <f>C33/E33*G33</f>
        <v>1919368.206</v>
      </c>
      <c r="J33" s="129">
        <v>1093982808</v>
      </c>
      <c r="K33" s="54" t="s">
        <v>10</v>
      </c>
      <c r="L33" s="55">
        <v>1000</v>
      </c>
      <c r="M33" s="55" t="s">
        <v>11</v>
      </c>
      <c r="N33" s="180">
        <v>2.5718685699999999</v>
      </c>
      <c r="O33" s="54" t="s">
        <v>12</v>
      </c>
      <c r="P33" s="57">
        <v>2819331.0500155441</v>
      </c>
      <c r="Q33" s="58">
        <f>C33-J33</f>
        <v>185595996</v>
      </c>
      <c r="R33" s="172">
        <f t="shared" si="10"/>
        <v>-1.0718685699999999</v>
      </c>
      <c r="S33" s="58">
        <f t="shared" si="13"/>
        <v>-899962.84401554405</v>
      </c>
      <c r="T33" s="186">
        <f t="shared" si="3"/>
        <v>-0.31921148245807535</v>
      </c>
      <c r="V33" s="130"/>
    </row>
    <row r="34" spans="1:22" x14ac:dyDescent="0.25">
      <c r="A34" s="29" t="s">
        <v>41</v>
      </c>
      <c r="B34" s="29" t="s">
        <v>19</v>
      </c>
      <c r="C34" s="143">
        <f>1278343111+2471387</f>
        <v>1280814498</v>
      </c>
      <c r="D34" s="145" t="s">
        <v>10</v>
      </c>
      <c r="E34" s="146">
        <v>1000</v>
      </c>
      <c r="F34" s="152" t="s">
        <v>11</v>
      </c>
      <c r="G34" s="174">
        <v>2.9473432771999999</v>
      </c>
      <c r="H34" s="157" t="s">
        <v>12</v>
      </c>
      <c r="I34" s="161">
        <f t="shared" si="11"/>
        <v>3775000.0000205925</v>
      </c>
      <c r="J34" s="128">
        <v>1095401418</v>
      </c>
      <c r="K34" s="38" t="s">
        <v>10</v>
      </c>
      <c r="L34" s="39">
        <v>1000</v>
      </c>
      <c r="M34" s="39" t="s">
        <v>11</v>
      </c>
      <c r="N34" s="179">
        <v>1.2842689236</v>
      </c>
      <c r="O34" s="38" t="s">
        <v>12</v>
      </c>
      <c r="P34" s="41">
        <v>1406790.0000047737</v>
      </c>
      <c r="Q34" s="42">
        <f t="shared" si="12"/>
        <v>185413080</v>
      </c>
      <c r="R34" s="171">
        <f t="shared" si="10"/>
        <v>1.6630743535999999</v>
      </c>
      <c r="S34" s="42">
        <f t="shared" si="13"/>
        <v>2368210.0000158185</v>
      </c>
      <c r="T34" s="185">
        <f t="shared" si="3"/>
        <v>1.6834140134688065</v>
      </c>
      <c r="V34" s="130"/>
    </row>
    <row r="35" spans="1:22" x14ac:dyDescent="0.25">
      <c r="A35" s="45" t="s">
        <v>119</v>
      </c>
      <c r="B35" s="45" t="s">
        <v>19</v>
      </c>
      <c r="C35" s="144">
        <f>222249808+211064</f>
        <v>222460872</v>
      </c>
      <c r="D35" s="147" t="s">
        <v>10</v>
      </c>
      <c r="E35" s="148">
        <v>1000</v>
      </c>
      <c r="F35" s="153" t="s">
        <v>11</v>
      </c>
      <c r="G35" s="175">
        <v>1.5</v>
      </c>
      <c r="H35" s="158" t="s">
        <v>12</v>
      </c>
      <c r="I35" s="162">
        <f t="shared" si="11"/>
        <v>333691.30800000002</v>
      </c>
      <c r="J35" s="129">
        <v>198598059</v>
      </c>
      <c r="K35" s="54" t="s">
        <v>10</v>
      </c>
      <c r="L35" s="55">
        <v>1000</v>
      </c>
      <c r="M35" s="55" t="s">
        <v>11</v>
      </c>
      <c r="N35" s="180">
        <v>2.545188</v>
      </c>
      <c r="O35" s="54" t="s">
        <v>12</v>
      </c>
      <c r="P35" s="57">
        <v>505469.39659009204</v>
      </c>
      <c r="Q35" s="58">
        <f t="shared" si="12"/>
        <v>23862813</v>
      </c>
      <c r="R35" s="172">
        <f t="shared" si="10"/>
        <v>-1.045188</v>
      </c>
      <c r="S35" s="58">
        <f t="shared" si="13"/>
        <v>-171778.08859009203</v>
      </c>
      <c r="T35" s="186">
        <f t="shared" si="3"/>
        <v>-0.3398387513643969</v>
      </c>
      <c r="V35" s="115"/>
    </row>
    <row r="36" spans="1:22" x14ac:dyDescent="0.25">
      <c r="A36" s="45" t="s">
        <v>43</v>
      </c>
      <c r="B36" s="45" t="s">
        <v>19</v>
      </c>
      <c r="C36" s="143">
        <f>222249808+422127</f>
        <v>222671935</v>
      </c>
      <c r="D36" s="145" t="s">
        <v>10</v>
      </c>
      <c r="E36" s="146">
        <v>1000</v>
      </c>
      <c r="F36" s="152" t="s">
        <v>11</v>
      </c>
      <c r="G36" s="174">
        <v>1.6334971570000001</v>
      </c>
      <c r="H36" s="157" t="s">
        <v>12</v>
      </c>
      <c r="I36" s="161">
        <f t="shared" si="11"/>
        <v>363733.97276618879</v>
      </c>
      <c r="J36" s="128">
        <v>198839501</v>
      </c>
      <c r="K36" s="38" t="s">
        <v>10</v>
      </c>
      <c r="L36" s="39">
        <v>1000</v>
      </c>
      <c r="M36" s="39" t="s">
        <v>11</v>
      </c>
      <c r="N36" s="179">
        <v>1.7409239999999999</v>
      </c>
      <c r="O36" s="38" t="s">
        <v>12</v>
      </c>
      <c r="P36" s="41">
        <v>346164.45943892398</v>
      </c>
      <c r="Q36" s="42">
        <f t="shared" si="12"/>
        <v>23832434</v>
      </c>
      <c r="R36" s="171">
        <f t="shared" si="10"/>
        <v>-0.10742684299999983</v>
      </c>
      <c r="S36" s="42">
        <f t="shared" si="13"/>
        <v>17569.513327264809</v>
      </c>
      <c r="T36" s="185">
        <f t="shared" si="3"/>
        <v>5.0754815661151691E-2</v>
      </c>
      <c r="V36" s="112"/>
    </row>
    <row r="37" spans="1:22" x14ac:dyDescent="0.25">
      <c r="A37" s="29" t="s">
        <v>120</v>
      </c>
      <c r="B37" s="29" t="s">
        <v>19</v>
      </c>
      <c r="C37" s="144">
        <f>186671369+5103864</f>
        <v>191775233</v>
      </c>
      <c r="D37" s="147" t="s">
        <v>10</v>
      </c>
      <c r="E37" s="148">
        <v>1000</v>
      </c>
      <c r="F37" s="153" t="s">
        <v>11</v>
      </c>
      <c r="G37" s="175">
        <v>1.5</v>
      </c>
      <c r="H37" s="158" t="s">
        <v>12</v>
      </c>
      <c r="I37" s="162">
        <f>C37/E37*G37</f>
        <v>287662.84950000001</v>
      </c>
      <c r="J37" s="129">
        <v>173700233</v>
      </c>
      <c r="K37" s="54" t="s">
        <v>10</v>
      </c>
      <c r="L37" s="55">
        <v>1000</v>
      </c>
      <c r="M37" s="55" t="s">
        <v>11</v>
      </c>
      <c r="N37" s="180">
        <v>3.0224484500000002</v>
      </c>
      <c r="O37" s="54" t="s">
        <v>12</v>
      </c>
      <c r="P37" s="57">
        <v>530911.89999548893</v>
      </c>
      <c r="Q37" s="58">
        <f t="shared" si="12"/>
        <v>18075000</v>
      </c>
      <c r="R37" s="172">
        <f t="shared" si="10"/>
        <v>-1.5224484500000002</v>
      </c>
      <c r="S37" s="58">
        <f t="shared" si="13"/>
        <v>-243249.05049548892</v>
      </c>
      <c r="T37" s="186">
        <f t="shared" si="3"/>
        <v>-0.45817215718381105</v>
      </c>
    </row>
    <row r="38" spans="1:22" x14ac:dyDescent="0.25">
      <c r="A38" s="29" t="s">
        <v>46</v>
      </c>
      <c r="B38" s="29" t="s">
        <v>19</v>
      </c>
      <c r="C38" s="144">
        <f>186671369+10207727</f>
        <v>196879096</v>
      </c>
      <c r="D38" s="147" t="s">
        <v>10</v>
      </c>
      <c r="E38" s="148">
        <v>1000</v>
      </c>
      <c r="F38" s="153" t="s">
        <v>11</v>
      </c>
      <c r="G38" s="175">
        <v>1.2698148512</v>
      </c>
      <c r="H38" s="158" t="s">
        <v>12</v>
      </c>
      <c r="I38" s="162">
        <f>C38/E38*G38</f>
        <v>249999.99999163052</v>
      </c>
      <c r="J38" s="129">
        <v>0</v>
      </c>
      <c r="K38" s="54" t="s">
        <v>10</v>
      </c>
      <c r="L38" s="55">
        <v>1000</v>
      </c>
      <c r="M38" s="55" t="s">
        <v>11</v>
      </c>
      <c r="N38" s="180">
        <v>0</v>
      </c>
      <c r="O38" s="54" t="s">
        <v>12</v>
      </c>
      <c r="P38" s="57">
        <v>0</v>
      </c>
      <c r="Q38" s="58">
        <f t="shared" si="12"/>
        <v>196879096</v>
      </c>
      <c r="R38" s="172">
        <f t="shared" si="10"/>
        <v>1.2698148512</v>
      </c>
      <c r="S38" s="58">
        <f t="shared" si="13"/>
        <v>249999.99999163052</v>
      </c>
      <c r="T38" s="188" t="s">
        <v>101</v>
      </c>
    </row>
    <row r="39" spans="1:22" x14ac:dyDescent="0.25">
      <c r="A39" s="45" t="s">
        <v>121</v>
      </c>
      <c r="B39" s="45" t="s">
        <v>19</v>
      </c>
      <c r="C39" s="143">
        <f>2644200602+1675356</f>
        <v>2645875958</v>
      </c>
      <c r="D39" s="145" t="s">
        <v>10</v>
      </c>
      <c r="E39" s="146">
        <v>1000</v>
      </c>
      <c r="F39" s="152" t="s">
        <v>11</v>
      </c>
      <c r="G39" s="174">
        <v>1.5</v>
      </c>
      <c r="H39" s="157" t="s">
        <v>12</v>
      </c>
      <c r="I39" s="161">
        <f>C39/E39*G39</f>
        <v>3968813.9369999999</v>
      </c>
      <c r="J39" s="128">
        <v>2361194634</v>
      </c>
      <c r="K39" s="38" t="s">
        <v>10</v>
      </c>
      <c r="L39" s="39">
        <v>1000</v>
      </c>
      <c r="M39" s="39" t="s">
        <v>11</v>
      </c>
      <c r="N39" s="179">
        <v>2.7784616250999998</v>
      </c>
      <c r="O39" s="38" t="s">
        <v>12</v>
      </c>
      <c r="P39" s="41">
        <v>6577331.7399610393</v>
      </c>
      <c r="Q39" s="42">
        <f t="shared" si="12"/>
        <v>284681324</v>
      </c>
      <c r="R39" s="171">
        <f t="shared" si="10"/>
        <v>-1.2784616250999998</v>
      </c>
      <c r="S39" s="42">
        <f t="shared" si="13"/>
        <v>-2608517.8029610394</v>
      </c>
      <c r="T39" s="185">
        <f t="shared" si="3"/>
        <v>-0.39659209936345569</v>
      </c>
      <c r="V39" s="130"/>
    </row>
    <row r="40" spans="1:22" x14ac:dyDescent="0.25">
      <c r="A40" s="45" t="s">
        <v>48</v>
      </c>
      <c r="B40" s="45" t="s">
        <v>19</v>
      </c>
      <c r="C40" s="143">
        <f>2644200602+3350712</f>
        <v>2647551314</v>
      </c>
      <c r="D40" s="147" t="s">
        <v>10</v>
      </c>
      <c r="E40" s="148">
        <v>1000</v>
      </c>
      <c r="F40" s="153" t="s">
        <v>11</v>
      </c>
      <c r="G40" s="175">
        <v>1.9096826805</v>
      </c>
      <c r="H40" s="158" t="s">
        <v>12</v>
      </c>
      <c r="I40" s="162">
        <f t="shared" si="11"/>
        <v>5055982.890080817</v>
      </c>
      <c r="J40" s="129">
        <v>2363203866</v>
      </c>
      <c r="K40" s="54" t="s">
        <v>10</v>
      </c>
      <c r="L40" s="55">
        <v>1000</v>
      </c>
      <c r="M40" s="55" t="s">
        <v>11</v>
      </c>
      <c r="N40" s="180">
        <v>2.0954934193999999</v>
      </c>
      <c r="O40" s="54" t="s">
        <v>12</v>
      </c>
      <c r="P40" s="57">
        <v>4952078.1499036392</v>
      </c>
      <c r="Q40" s="58">
        <f t="shared" si="12"/>
        <v>284347448</v>
      </c>
      <c r="R40" s="172">
        <f t="shared" si="10"/>
        <v>-0.18581073889999988</v>
      </c>
      <c r="S40" s="58">
        <f t="shared" si="13"/>
        <v>103904.74017717782</v>
      </c>
      <c r="T40" s="186">
        <f t="shared" si="3"/>
        <v>2.0982047744783607E-2</v>
      </c>
      <c r="V40" s="115"/>
    </row>
    <row r="41" spans="1:22" x14ac:dyDescent="0.25">
      <c r="A41" s="45" t="s">
        <v>49</v>
      </c>
      <c r="B41" s="45" t="s">
        <v>19</v>
      </c>
      <c r="C41" s="143">
        <f>2644200602+3350712</f>
        <v>2647551314</v>
      </c>
      <c r="D41" s="145" t="s">
        <v>10</v>
      </c>
      <c r="E41" s="146">
        <v>1000</v>
      </c>
      <c r="F41" s="152" t="s">
        <v>11</v>
      </c>
      <c r="G41" s="174">
        <v>0.2634045075</v>
      </c>
      <c r="H41" s="157" t="s">
        <v>12</v>
      </c>
      <c r="I41" s="161">
        <f t="shared" si="11"/>
        <v>697376.94994514773</v>
      </c>
      <c r="J41" s="128">
        <v>2363203866</v>
      </c>
      <c r="K41" s="38" t="s">
        <v>10</v>
      </c>
      <c r="L41" s="39">
        <v>1000</v>
      </c>
      <c r="M41" s="39" t="s">
        <v>11</v>
      </c>
      <c r="N41" s="179">
        <v>0.28616870500000002</v>
      </c>
      <c r="O41" s="38" t="s">
        <v>12</v>
      </c>
      <c r="P41" s="41">
        <v>676274.98998421361</v>
      </c>
      <c r="Q41" s="42">
        <f t="shared" si="12"/>
        <v>284347448</v>
      </c>
      <c r="R41" s="171">
        <f t="shared" si="10"/>
        <v>-2.2764197500000027E-2</v>
      </c>
      <c r="S41" s="42">
        <f t="shared" si="13"/>
        <v>21101.959960934124</v>
      </c>
      <c r="T41" s="185">
        <f t="shared" si="3"/>
        <v>3.1203223945079961E-2</v>
      </c>
    </row>
    <row r="42" spans="1:22" x14ac:dyDescent="0.25">
      <c r="A42" s="29" t="s">
        <v>122</v>
      </c>
      <c r="B42" s="29" t="s">
        <v>19</v>
      </c>
      <c r="C42" s="144">
        <f>18119095572+144688</f>
        <v>18119240260</v>
      </c>
      <c r="D42" s="147" t="s">
        <v>10</v>
      </c>
      <c r="E42" s="148">
        <v>1000</v>
      </c>
      <c r="F42" s="153" t="s">
        <v>11</v>
      </c>
      <c r="G42" s="175">
        <v>1.5</v>
      </c>
      <c r="H42" s="158" t="s">
        <v>12</v>
      </c>
      <c r="I42" s="162">
        <f>C42/E42*G42</f>
        <v>27178860.390000001</v>
      </c>
      <c r="J42" s="129">
        <v>16054055936</v>
      </c>
      <c r="K42" s="54" t="s">
        <v>10</v>
      </c>
      <c r="L42" s="55">
        <v>1000</v>
      </c>
      <c r="M42" s="55" t="s">
        <v>11</v>
      </c>
      <c r="N42" s="180">
        <v>3.2092201624999999</v>
      </c>
      <c r="O42" s="54" t="s">
        <v>12</v>
      </c>
      <c r="P42" s="57">
        <v>51673105.06971401</v>
      </c>
      <c r="Q42" s="58">
        <f t="shared" si="12"/>
        <v>2065184324</v>
      </c>
      <c r="R42" s="172">
        <f t="shared" si="10"/>
        <v>-1.7092201624999999</v>
      </c>
      <c r="S42" s="58">
        <f t="shared" si="13"/>
        <v>-24494244.679714009</v>
      </c>
      <c r="T42" s="186">
        <f t="shared" si="3"/>
        <v>-0.47402308505881269</v>
      </c>
    </row>
    <row r="43" spans="1:22" x14ac:dyDescent="0.25">
      <c r="A43" s="29" t="s">
        <v>51</v>
      </c>
      <c r="B43" s="29" t="s">
        <v>19</v>
      </c>
      <c r="C43" s="143">
        <f>18119095572+233658</f>
        <v>18119329230</v>
      </c>
      <c r="D43" s="145" t="s">
        <v>10</v>
      </c>
      <c r="E43" s="146">
        <v>1000</v>
      </c>
      <c r="F43" s="152" t="s">
        <v>11</v>
      </c>
      <c r="G43" s="174">
        <v>1.7384749513</v>
      </c>
      <c r="H43" s="157" t="s">
        <v>12</v>
      </c>
      <c r="I43" s="161">
        <f t="shared" si="11"/>
        <v>31500000.000712916</v>
      </c>
      <c r="J43" s="128">
        <v>16054249675</v>
      </c>
      <c r="K43" s="38" t="s">
        <v>10</v>
      </c>
      <c r="L43" s="39">
        <v>1000</v>
      </c>
      <c r="M43" s="39" t="s">
        <v>11</v>
      </c>
      <c r="N43" s="179">
        <v>1.6195088855999999</v>
      </c>
      <c r="O43" s="38" t="s">
        <v>12</v>
      </c>
      <c r="P43" s="41">
        <v>26000000.000303414</v>
      </c>
      <c r="Q43" s="42">
        <f t="shared" si="12"/>
        <v>2065079555</v>
      </c>
      <c r="R43" s="171">
        <f t="shared" si="10"/>
        <v>0.11896606570000001</v>
      </c>
      <c r="S43" s="42">
        <f t="shared" si="13"/>
        <v>5500000.0004095025</v>
      </c>
      <c r="T43" s="185">
        <f t="shared" si="3"/>
        <v>0.21153846155174302</v>
      </c>
    </row>
    <row r="44" spans="1:22" x14ac:dyDescent="0.25">
      <c r="A44" s="45" t="s">
        <v>123</v>
      </c>
      <c r="B44" s="45" t="s">
        <v>19</v>
      </c>
      <c r="C44" s="144">
        <f>6057520464+4698748</f>
        <v>6062219212</v>
      </c>
      <c r="D44" s="147" t="s">
        <v>10</v>
      </c>
      <c r="E44" s="148">
        <v>1000</v>
      </c>
      <c r="F44" s="153" t="s">
        <v>11</v>
      </c>
      <c r="G44" s="175">
        <v>1.5</v>
      </c>
      <c r="H44" s="158" t="s">
        <v>12</v>
      </c>
      <c r="I44" s="162">
        <f>C44/E44*G44</f>
        <v>9093328.818</v>
      </c>
      <c r="J44" s="129">
        <v>5420679179</v>
      </c>
      <c r="K44" s="54" t="s">
        <v>10</v>
      </c>
      <c r="L44" s="55">
        <v>1000</v>
      </c>
      <c r="M44" s="55" t="s">
        <v>11</v>
      </c>
      <c r="N44" s="180">
        <v>2.9701075213000001</v>
      </c>
      <c r="O44" s="54" t="s">
        <v>12</v>
      </c>
      <c r="P44" s="57">
        <v>16117202.370102208</v>
      </c>
      <c r="Q44" s="58">
        <f t="shared" si="12"/>
        <v>641540033</v>
      </c>
      <c r="R44" s="172">
        <f t="shared" si="10"/>
        <v>-1.4701075213000001</v>
      </c>
      <c r="S44" s="58">
        <f t="shared" si="13"/>
        <v>-7023873.5521022081</v>
      </c>
      <c r="T44" s="186">
        <f t="shared" si="3"/>
        <v>-0.43579979892364323</v>
      </c>
    </row>
    <row r="45" spans="1:22" x14ac:dyDescent="0.25">
      <c r="A45" s="45" t="s">
        <v>53</v>
      </c>
      <c r="B45" s="45" t="s">
        <v>19</v>
      </c>
      <c r="C45" s="144">
        <f>6057520464+9397496</f>
        <v>6066917960</v>
      </c>
      <c r="D45" s="145" t="s">
        <v>10</v>
      </c>
      <c r="E45" s="146">
        <v>1000</v>
      </c>
      <c r="F45" s="152" t="s">
        <v>11</v>
      </c>
      <c r="G45" s="174">
        <v>3.2422450953999999</v>
      </c>
      <c r="H45" s="157" t="s">
        <v>12</v>
      </c>
      <c r="I45" s="161">
        <f>C45/E45*G45</f>
        <v>19670435.000004172</v>
      </c>
      <c r="J45" s="128">
        <v>5426297607</v>
      </c>
      <c r="K45" s="38" t="s">
        <v>10</v>
      </c>
      <c r="L45" s="39">
        <v>1000</v>
      </c>
      <c r="M45" s="39" t="s">
        <v>11</v>
      </c>
      <c r="N45" s="179">
        <v>3.4185371579999999</v>
      </c>
      <c r="O45" s="38" t="s">
        <v>12</v>
      </c>
      <c r="P45" s="41">
        <v>18549999.999895979</v>
      </c>
      <c r="Q45" s="42">
        <f t="shared" si="12"/>
        <v>640620353</v>
      </c>
      <c r="R45" s="171">
        <f t="shared" si="10"/>
        <v>-0.17629206259999997</v>
      </c>
      <c r="S45" s="42">
        <f t="shared" si="13"/>
        <v>1120435.0001081936</v>
      </c>
      <c r="T45" s="185">
        <f t="shared" si="3"/>
        <v>6.0400808631508172E-2</v>
      </c>
    </row>
    <row r="46" spans="1:22" x14ac:dyDescent="0.25">
      <c r="A46" s="45" t="s">
        <v>54</v>
      </c>
      <c r="B46" s="45" t="s">
        <v>19</v>
      </c>
      <c r="C46" s="144">
        <f>6057520464+9397496</f>
        <v>6066917960</v>
      </c>
      <c r="D46" s="147" t="s">
        <v>10</v>
      </c>
      <c r="E46" s="148">
        <v>1000</v>
      </c>
      <c r="F46" s="153" t="s">
        <v>11</v>
      </c>
      <c r="G46" s="175">
        <v>0.2884495903</v>
      </c>
      <c r="H46" s="158" t="s">
        <v>12</v>
      </c>
      <c r="I46" s="162">
        <f t="shared" si="11"/>
        <v>1749999.9999457118</v>
      </c>
      <c r="J46" s="129">
        <v>5426297607</v>
      </c>
      <c r="K46" s="54" t="s">
        <v>10</v>
      </c>
      <c r="L46" s="55">
        <v>1000</v>
      </c>
      <c r="M46" s="55" t="s">
        <v>11</v>
      </c>
      <c r="N46" s="180">
        <v>0.3132891196</v>
      </c>
      <c r="O46" s="54" t="s">
        <v>12</v>
      </c>
      <c r="P46" s="57">
        <v>1699999.9999846166</v>
      </c>
      <c r="Q46" s="58">
        <f t="shared" si="12"/>
        <v>640620353</v>
      </c>
      <c r="R46" s="172">
        <f t="shared" si="10"/>
        <v>-2.4839529299999996E-2</v>
      </c>
      <c r="S46" s="58">
        <f t="shared" si="13"/>
        <v>49999.999961095164</v>
      </c>
      <c r="T46" s="186">
        <f t="shared" si="3"/>
        <v>2.9411764683263304E-2</v>
      </c>
    </row>
    <row r="47" spans="1:22" x14ac:dyDescent="0.25">
      <c r="A47" s="29" t="s">
        <v>124</v>
      </c>
      <c r="B47" s="29" t="s">
        <v>19</v>
      </c>
      <c r="C47" s="143">
        <f>10563061542+36825701</f>
        <v>10599887243</v>
      </c>
      <c r="D47" s="145" t="s">
        <v>10</v>
      </c>
      <c r="E47" s="146">
        <v>1000</v>
      </c>
      <c r="F47" s="152" t="s">
        <v>11</v>
      </c>
      <c r="G47" s="174">
        <v>1.5</v>
      </c>
      <c r="H47" s="157" t="s">
        <v>12</v>
      </c>
      <c r="I47" s="161">
        <f>C47/E47*G47</f>
        <v>15899830.864500001</v>
      </c>
      <c r="J47" s="128">
        <v>9157893429</v>
      </c>
      <c r="K47" s="38" t="s">
        <v>10</v>
      </c>
      <c r="L47" s="39">
        <v>1000</v>
      </c>
      <c r="M47" s="39" t="s">
        <v>11</v>
      </c>
      <c r="N47" s="179">
        <v>3.4593108389</v>
      </c>
      <c r="O47" s="38" t="s">
        <v>12</v>
      </c>
      <c r="P47" s="41">
        <v>31759142.270430785</v>
      </c>
      <c r="Q47" s="42">
        <f t="shared" si="12"/>
        <v>1441993814</v>
      </c>
      <c r="R47" s="171">
        <f t="shared" si="10"/>
        <v>-1.9593108389</v>
      </c>
      <c r="S47" s="42">
        <f>I47-P47</f>
        <v>-15859311.405930784</v>
      </c>
      <c r="T47" s="185">
        <f t="shared" si="3"/>
        <v>-0.49936208197588916</v>
      </c>
    </row>
    <row r="48" spans="1:22" x14ac:dyDescent="0.25">
      <c r="A48" s="29" t="s">
        <v>56</v>
      </c>
      <c r="B48" s="29" t="s">
        <v>19</v>
      </c>
      <c r="C48" s="143">
        <f>10563061542+73651402</f>
        <v>10636712944</v>
      </c>
      <c r="D48" s="147" t="s">
        <v>10</v>
      </c>
      <c r="E48" s="148">
        <v>1000</v>
      </c>
      <c r="F48" s="153" t="s">
        <v>11</v>
      </c>
      <c r="G48" s="175">
        <v>0.6059437755</v>
      </c>
      <c r="H48" s="158" t="s">
        <v>12</v>
      </c>
      <c r="I48" s="162">
        <f t="shared" si="11"/>
        <v>6445250.00019708</v>
      </c>
      <c r="J48" s="129">
        <v>9201436948</v>
      </c>
      <c r="K48" s="54" t="s">
        <v>10</v>
      </c>
      <c r="L48" s="55">
        <v>1000</v>
      </c>
      <c r="M48" s="55" t="s">
        <v>11</v>
      </c>
      <c r="N48" s="180">
        <v>0.67076479850000004</v>
      </c>
      <c r="O48" s="54" t="s">
        <v>12</v>
      </c>
      <c r="P48" s="57">
        <v>6172000.0003356757</v>
      </c>
      <c r="Q48" s="58">
        <f t="shared" si="12"/>
        <v>1435275996</v>
      </c>
      <c r="R48" s="172">
        <f t="shared" si="10"/>
        <v>-6.4821023000000033E-2</v>
      </c>
      <c r="S48" s="58">
        <f t="shared" si="13"/>
        <v>273249.9998614043</v>
      </c>
      <c r="T48" s="186">
        <f t="shared" si="3"/>
        <v>4.4272521038001146E-2</v>
      </c>
    </row>
    <row r="49" spans="1:20" x14ac:dyDescent="0.25">
      <c r="A49" s="45" t="s">
        <v>125</v>
      </c>
      <c r="B49" s="45" t="s">
        <v>19</v>
      </c>
      <c r="C49" s="143">
        <f>3458689272+314171</f>
        <v>3459003443</v>
      </c>
      <c r="D49" s="145" t="s">
        <v>10</v>
      </c>
      <c r="E49" s="146">
        <v>1000</v>
      </c>
      <c r="F49" s="152" t="s">
        <v>11</v>
      </c>
      <c r="G49" s="174">
        <v>1.5</v>
      </c>
      <c r="H49" s="157" t="s">
        <v>12</v>
      </c>
      <c r="I49" s="161">
        <f>C49/E49*G49</f>
        <v>5188505.1645</v>
      </c>
      <c r="J49" s="128">
        <v>2985933492</v>
      </c>
      <c r="K49" s="38" t="s">
        <v>10</v>
      </c>
      <c r="L49" s="39">
        <v>1000</v>
      </c>
      <c r="M49" s="39" t="s">
        <v>11</v>
      </c>
      <c r="N49" s="179">
        <v>2.2352346487000001</v>
      </c>
      <c r="O49" s="38" t="s">
        <v>12</v>
      </c>
      <c r="P49" s="41">
        <v>6687400.4500321848</v>
      </c>
      <c r="Q49" s="42">
        <f t="shared" si="12"/>
        <v>473069951</v>
      </c>
      <c r="R49" s="171">
        <f t="shared" si="10"/>
        <v>-0.7352346487000001</v>
      </c>
      <c r="S49" s="42">
        <f t="shared" si="13"/>
        <v>-1498895.2855321849</v>
      </c>
      <c r="T49" s="185">
        <f t="shared" si="3"/>
        <v>-0.22413721097335679</v>
      </c>
    </row>
    <row r="50" spans="1:20" ht="15.75" thickBot="1" x14ac:dyDescent="0.3">
      <c r="A50" s="45" t="s">
        <v>58</v>
      </c>
      <c r="B50" s="45" t="s">
        <v>19</v>
      </c>
      <c r="C50" s="143">
        <f>3458689272+564651</f>
        <v>3459253923</v>
      </c>
      <c r="D50" s="147" t="s">
        <v>10</v>
      </c>
      <c r="E50" s="148">
        <v>1000</v>
      </c>
      <c r="F50" s="153" t="s">
        <v>11</v>
      </c>
      <c r="G50" s="175">
        <v>1.9512878065999999</v>
      </c>
      <c r="H50" s="158" t="s">
        <v>12</v>
      </c>
      <c r="I50" s="162">
        <f t="shared" si="11"/>
        <v>6749999.9998831153</v>
      </c>
      <c r="J50" s="129">
        <v>2986277603</v>
      </c>
      <c r="K50" s="54" t="s">
        <v>10</v>
      </c>
      <c r="L50" s="55">
        <v>1000</v>
      </c>
      <c r="M50" s="55" t="s">
        <v>11</v>
      </c>
      <c r="N50" s="180">
        <v>2.1029525163999998</v>
      </c>
      <c r="O50" s="54" t="s">
        <v>12</v>
      </c>
      <c r="P50" s="57">
        <v>6279999.9998978097</v>
      </c>
      <c r="Q50" s="58">
        <f t="shared" si="12"/>
        <v>472976320</v>
      </c>
      <c r="R50" s="172">
        <f t="shared" si="10"/>
        <v>-0.15166470979999991</v>
      </c>
      <c r="S50" s="58">
        <f t="shared" si="13"/>
        <v>469999.99998530559</v>
      </c>
      <c r="T50" s="186">
        <f t="shared" si="3"/>
        <v>7.4840764330088155E-2</v>
      </c>
    </row>
    <row r="51" spans="1:20" ht="15.75" thickBot="1" x14ac:dyDescent="0.3">
      <c r="A51" s="78" t="s">
        <v>59</v>
      </c>
      <c r="B51" s="79"/>
      <c r="C51" s="142"/>
      <c r="D51" s="149"/>
      <c r="E51" s="150"/>
      <c r="F51" s="154"/>
      <c r="G51" s="176"/>
      <c r="H51" s="159"/>
      <c r="I51" s="159"/>
      <c r="J51" s="80"/>
      <c r="K51" s="80"/>
      <c r="L51" s="80"/>
      <c r="M51" s="80"/>
      <c r="N51" s="181"/>
      <c r="O51" s="80"/>
      <c r="P51" s="80"/>
      <c r="Q51" s="86"/>
      <c r="R51" s="86"/>
      <c r="S51" s="86"/>
      <c r="T51" s="187"/>
    </row>
    <row r="52" spans="1:20" x14ac:dyDescent="0.25">
      <c r="A52" s="29" t="s">
        <v>61</v>
      </c>
      <c r="B52" s="29" t="s">
        <v>9</v>
      </c>
      <c r="C52" s="144">
        <v>3273135031</v>
      </c>
      <c r="D52" s="147" t="s">
        <v>10</v>
      </c>
      <c r="E52" s="148">
        <v>1000</v>
      </c>
      <c r="F52" s="153" t="s">
        <v>11</v>
      </c>
      <c r="G52" s="175">
        <v>1.3540200443999999</v>
      </c>
      <c r="H52" s="158" t="s">
        <v>12</v>
      </c>
      <c r="I52" s="162">
        <f t="shared" ref="I52:I63" si="14">C52/E52*G52</f>
        <v>4431890.4400018146</v>
      </c>
      <c r="J52" s="129">
        <v>2809878992</v>
      </c>
      <c r="K52" s="39" t="s">
        <v>10</v>
      </c>
      <c r="L52" s="39">
        <v>1000</v>
      </c>
      <c r="M52" s="39" t="s">
        <v>11</v>
      </c>
      <c r="N52" s="179">
        <v>1.4230242369999999</v>
      </c>
      <c r="O52" s="38" t="s">
        <v>12</v>
      </c>
      <c r="P52" s="41">
        <v>3998525.9086531289</v>
      </c>
      <c r="Q52" s="58">
        <f t="shared" ref="Q52:Q63" si="15">C52-J52</f>
        <v>463256039</v>
      </c>
      <c r="R52" s="172">
        <f t="shared" ref="R52:R64" si="16">G52-N52</f>
        <v>-6.9004192600000014E-2</v>
      </c>
      <c r="S52" s="58">
        <f t="shared" ref="S52:S64" si="17">I52-P52</f>
        <v>433364.53134868573</v>
      </c>
      <c r="T52" s="186">
        <f t="shared" si="3"/>
        <v>0.10838107373791185</v>
      </c>
    </row>
    <row r="53" spans="1:20" x14ac:dyDescent="0.25">
      <c r="A53" s="45" t="s">
        <v>62</v>
      </c>
      <c r="B53" s="45" t="s">
        <v>9</v>
      </c>
      <c r="C53" s="143">
        <v>10273624776</v>
      </c>
      <c r="D53" s="145" t="s">
        <v>10</v>
      </c>
      <c r="E53" s="146">
        <v>1000</v>
      </c>
      <c r="F53" s="152" t="s">
        <v>11</v>
      </c>
      <c r="G53" s="174">
        <v>1.1825702276000001</v>
      </c>
      <c r="H53" s="157" t="s">
        <v>12</v>
      </c>
      <c r="I53" s="161">
        <f t="shared" si="14"/>
        <v>12149282.78963132</v>
      </c>
      <c r="J53" s="128">
        <v>8820269748</v>
      </c>
      <c r="K53" s="55" t="s">
        <v>10</v>
      </c>
      <c r="L53" s="55">
        <v>1000</v>
      </c>
      <c r="M53" s="55" t="s">
        <v>11</v>
      </c>
      <c r="N53" s="180">
        <v>1.2924960796</v>
      </c>
      <c r="O53" s="54" t="s">
        <v>12</v>
      </c>
      <c r="P53" s="57">
        <v>11400164.070304479</v>
      </c>
      <c r="Q53" s="42">
        <f t="shared" si="15"/>
        <v>1453355028</v>
      </c>
      <c r="R53" s="171">
        <f t="shared" si="16"/>
        <v>-0.10992585199999994</v>
      </c>
      <c r="S53" s="42">
        <f t="shared" si="17"/>
        <v>749118.71932684071</v>
      </c>
      <c r="T53" s="185">
        <f t="shared" si="3"/>
        <v>6.5711222637415342E-2</v>
      </c>
    </row>
    <row r="54" spans="1:20" x14ac:dyDescent="0.25">
      <c r="A54" s="29" t="s">
        <v>63</v>
      </c>
      <c r="B54" s="29" t="s">
        <v>9</v>
      </c>
      <c r="C54" s="144">
        <v>9391968124</v>
      </c>
      <c r="D54" s="147" t="s">
        <v>10</v>
      </c>
      <c r="E54" s="148">
        <v>1000</v>
      </c>
      <c r="F54" s="153" t="s">
        <v>11</v>
      </c>
      <c r="G54" s="175">
        <f>1.195943368+0.002140052</f>
        <v>1.1980834199999999</v>
      </c>
      <c r="H54" s="158" t="s">
        <v>12</v>
      </c>
      <c r="I54" s="162">
        <f t="shared" si="14"/>
        <v>11252361.290532904</v>
      </c>
      <c r="J54" s="129">
        <v>8280995199</v>
      </c>
      <c r="K54" s="39" t="s">
        <v>10</v>
      </c>
      <c r="L54" s="39">
        <v>1000</v>
      </c>
      <c r="M54" s="39" t="s">
        <v>11</v>
      </c>
      <c r="N54" s="179">
        <v>1.3125449802</v>
      </c>
      <c r="O54" s="38" t="s">
        <v>12</v>
      </c>
      <c r="P54" s="41">
        <v>10869178.679507749</v>
      </c>
      <c r="Q54" s="58">
        <f t="shared" si="15"/>
        <v>1110972925</v>
      </c>
      <c r="R54" s="172">
        <f t="shared" si="16"/>
        <v>-0.11446156020000009</v>
      </c>
      <c r="S54" s="58">
        <f t="shared" si="17"/>
        <v>383182.61102515459</v>
      </c>
      <c r="T54" s="186">
        <f t="shared" si="3"/>
        <v>3.5254053900833325E-2</v>
      </c>
    </row>
    <row r="55" spans="1:20" x14ac:dyDescent="0.25">
      <c r="A55" s="29" t="s">
        <v>64</v>
      </c>
      <c r="B55" s="29" t="s">
        <v>9</v>
      </c>
      <c r="C55" s="143">
        <v>9391968124</v>
      </c>
      <c r="D55" s="145" t="s">
        <v>10</v>
      </c>
      <c r="E55" s="146">
        <v>1000</v>
      </c>
      <c r="F55" s="152" t="s">
        <v>11</v>
      </c>
      <c r="G55" s="174">
        <v>0.38936173670000002</v>
      </c>
      <c r="H55" s="157" t="s">
        <v>12</v>
      </c>
      <c r="I55" s="161">
        <f t="shared" si="14"/>
        <v>3656873.0197916809</v>
      </c>
      <c r="J55" s="128">
        <v>8280995199</v>
      </c>
      <c r="K55" s="55" t="s">
        <v>10</v>
      </c>
      <c r="L55" s="55">
        <v>1000</v>
      </c>
      <c r="M55" s="55" t="s">
        <v>11</v>
      </c>
      <c r="N55" s="180">
        <v>0.4268919961</v>
      </c>
      <c r="O55" s="54" t="s">
        <v>12</v>
      </c>
      <c r="P55" s="57">
        <v>3535090.5701956269</v>
      </c>
      <c r="Q55" s="42">
        <f t="shared" si="15"/>
        <v>1110972925</v>
      </c>
      <c r="R55" s="171">
        <f t="shared" si="16"/>
        <v>-3.7530259399999988E-2</v>
      </c>
      <c r="S55" s="42">
        <f t="shared" si="17"/>
        <v>121782.44959605392</v>
      </c>
      <c r="T55" s="185">
        <f t="shared" si="3"/>
        <v>3.4449598158192207E-2</v>
      </c>
    </row>
    <row r="56" spans="1:20" x14ac:dyDescent="0.25">
      <c r="A56" s="45" t="s">
        <v>65</v>
      </c>
      <c r="B56" s="45" t="s">
        <v>9</v>
      </c>
      <c r="C56" s="144">
        <v>1810490651</v>
      </c>
      <c r="D56" s="147" t="s">
        <v>10</v>
      </c>
      <c r="E56" s="148">
        <v>1000</v>
      </c>
      <c r="F56" s="153" t="s">
        <v>11</v>
      </c>
      <c r="G56" s="175">
        <f>1.1614660749+0.0018157398</f>
        <v>1.1632818147000001</v>
      </c>
      <c r="H56" s="158" t="s">
        <v>12</v>
      </c>
      <c r="I56" s="162">
        <f t="shared" si="14"/>
        <v>2106110.8499926645</v>
      </c>
      <c r="J56" s="129">
        <v>1594156363</v>
      </c>
      <c r="K56" s="39" t="s">
        <v>10</v>
      </c>
      <c r="L56" s="39">
        <v>1000</v>
      </c>
      <c r="M56" s="39" t="s">
        <v>11</v>
      </c>
      <c r="N56" s="179">
        <v>1.2879398895</v>
      </c>
      <c r="O56" s="38" t="s">
        <v>12</v>
      </c>
      <c r="P56" s="41">
        <v>2053177.5700079419</v>
      </c>
      <c r="Q56" s="58">
        <f t="shared" si="15"/>
        <v>216334288</v>
      </c>
      <c r="R56" s="172">
        <f t="shared" si="16"/>
        <v>-0.12465807479999991</v>
      </c>
      <c r="S56" s="58">
        <f t="shared" si="17"/>
        <v>52933.279984722612</v>
      </c>
      <c r="T56" s="186">
        <f t="shared" si="3"/>
        <v>2.5781150523925635E-2</v>
      </c>
    </row>
    <row r="57" spans="1:20" x14ac:dyDescent="0.25">
      <c r="A57" s="45" t="s">
        <v>66</v>
      </c>
      <c r="B57" s="45" t="s">
        <v>9</v>
      </c>
      <c r="C57" s="143">
        <v>1810490651</v>
      </c>
      <c r="D57" s="145" t="s">
        <v>10</v>
      </c>
      <c r="E57" s="146">
        <v>1000</v>
      </c>
      <c r="F57" s="152" t="s">
        <v>11</v>
      </c>
      <c r="G57" s="174">
        <v>0.25492360860000002</v>
      </c>
      <c r="H57" s="157" t="s">
        <v>12</v>
      </c>
      <c r="I57" s="161">
        <f t="shared" si="14"/>
        <v>461536.81008948328</v>
      </c>
      <c r="J57" s="128">
        <v>1594156363</v>
      </c>
      <c r="K57" s="55" t="s">
        <v>10</v>
      </c>
      <c r="L57" s="55">
        <v>1000</v>
      </c>
      <c r="M57" s="55" t="s">
        <v>11</v>
      </c>
      <c r="N57" s="180">
        <v>0.28232894870000003</v>
      </c>
      <c r="O57" s="54" t="s">
        <v>12</v>
      </c>
      <c r="P57" s="57">
        <v>450076.49002920557</v>
      </c>
      <c r="Q57" s="42">
        <f t="shared" si="15"/>
        <v>216334288</v>
      </c>
      <c r="R57" s="171">
        <f t="shared" si="16"/>
        <v>-2.7405340100000009E-2</v>
      </c>
      <c r="S57" s="42">
        <f t="shared" si="17"/>
        <v>11460.320060277707</v>
      </c>
      <c r="T57" s="185">
        <f t="shared" si="3"/>
        <v>2.5463049757462435E-2</v>
      </c>
    </row>
    <row r="58" spans="1:20" x14ac:dyDescent="0.25">
      <c r="A58" s="29" t="s">
        <v>67</v>
      </c>
      <c r="B58" s="29" t="s">
        <v>9</v>
      </c>
      <c r="C58" s="144">
        <v>1229204739</v>
      </c>
      <c r="D58" s="147" t="s">
        <v>10</v>
      </c>
      <c r="E58" s="148">
        <v>1000</v>
      </c>
      <c r="F58" s="153" t="s">
        <v>11</v>
      </c>
      <c r="G58" s="175">
        <v>0.92267547790000004</v>
      </c>
      <c r="H58" s="158" t="s">
        <v>12</v>
      </c>
      <c r="I58" s="162">
        <f t="shared" si="14"/>
        <v>1134157.06999377</v>
      </c>
      <c r="J58" s="129">
        <v>1079755478</v>
      </c>
      <c r="K58" s="39" t="s">
        <v>10</v>
      </c>
      <c r="L58" s="39">
        <v>1000</v>
      </c>
      <c r="M58" s="39" t="s">
        <v>11</v>
      </c>
      <c r="N58" s="179">
        <v>1.0015550002</v>
      </c>
      <c r="O58" s="38" t="s">
        <v>12</v>
      </c>
      <c r="P58" s="41">
        <v>1081434.497984241</v>
      </c>
      <c r="Q58" s="58">
        <f t="shared" si="15"/>
        <v>149449261</v>
      </c>
      <c r="R58" s="172">
        <f t="shared" si="16"/>
        <v>-7.8879522299999949E-2</v>
      </c>
      <c r="S58" s="58">
        <f t="shared" si="17"/>
        <v>52722.572009528987</v>
      </c>
      <c r="T58" s="186">
        <f t="shared" si="3"/>
        <v>4.8752441417212196E-2</v>
      </c>
    </row>
    <row r="59" spans="1:20" x14ac:dyDescent="0.25">
      <c r="A59" s="45" t="s">
        <v>68</v>
      </c>
      <c r="B59" s="45" t="s">
        <v>9</v>
      </c>
      <c r="C59" s="143">
        <v>5797514644</v>
      </c>
      <c r="D59" s="145" t="s">
        <v>10</v>
      </c>
      <c r="E59" s="146">
        <v>1000</v>
      </c>
      <c r="F59" s="152" t="s">
        <v>11</v>
      </c>
      <c r="G59" s="174">
        <v>1.4450362827000001</v>
      </c>
      <c r="H59" s="157" t="s">
        <v>12</v>
      </c>
      <c r="I59" s="161">
        <f t="shared" si="14"/>
        <v>8377619.0100645749</v>
      </c>
      <c r="J59" s="128">
        <v>5086054973</v>
      </c>
      <c r="K59" s="55" t="s">
        <v>10</v>
      </c>
      <c r="L59" s="55">
        <v>1000</v>
      </c>
      <c r="M59" s="55" t="s">
        <v>11</v>
      </c>
      <c r="N59" s="180">
        <v>1.4999999981000001</v>
      </c>
      <c r="O59" s="54" t="s">
        <v>12</v>
      </c>
      <c r="P59" s="57">
        <v>7629082.4498364963</v>
      </c>
      <c r="Q59" s="42">
        <f t="shared" si="15"/>
        <v>711459671</v>
      </c>
      <c r="R59" s="171">
        <f t="shared" si="16"/>
        <v>-5.4963715400000002E-2</v>
      </c>
      <c r="S59" s="42">
        <f t="shared" si="17"/>
        <v>748536.56022807863</v>
      </c>
      <c r="T59" s="185">
        <f t="shared" si="3"/>
        <v>9.811619747852128E-2</v>
      </c>
    </row>
    <row r="60" spans="1:20" x14ac:dyDescent="0.25">
      <c r="A60" s="29" t="s">
        <v>69</v>
      </c>
      <c r="B60" s="29" t="s">
        <v>19</v>
      </c>
      <c r="C60" s="144">
        <f>2928898644+594218</f>
        <v>2929492862</v>
      </c>
      <c r="D60" s="147" t="s">
        <v>10</v>
      </c>
      <c r="E60" s="148">
        <v>1000</v>
      </c>
      <c r="F60" s="153" t="s">
        <v>11</v>
      </c>
      <c r="G60" s="175">
        <v>0.1046597532</v>
      </c>
      <c r="H60" s="158" t="s">
        <v>12</v>
      </c>
      <c r="I60" s="162">
        <f t="shared" si="14"/>
        <v>306599.99993808166</v>
      </c>
      <c r="J60" s="129">
        <v>2530588457</v>
      </c>
      <c r="K60" s="39" t="s">
        <v>10</v>
      </c>
      <c r="L60" s="39">
        <v>1000</v>
      </c>
      <c r="M60" s="39" t="s">
        <v>11</v>
      </c>
      <c r="N60" s="179">
        <v>0.1198733042</v>
      </c>
      <c r="O60" s="38" t="s">
        <v>12</v>
      </c>
      <c r="P60" s="41">
        <v>303349.99991096964</v>
      </c>
      <c r="Q60" s="58">
        <f t="shared" si="15"/>
        <v>398904405</v>
      </c>
      <c r="R60" s="172">
        <f t="shared" si="16"/>
        <v>-1.5213551000000006E-2</v>
      </c>
      <c r="S60" s="58">
        <f t="shared" si="17"/>
        <v>3250.0000271120225</v>
      </c>
      <c r="T60" s="186">
        <f t="shared" si="3"/>
        <v>1.0713697142132411E-2</v>
      </c>
    </row>
    <row r="61" spans="1:20" x14ac:dyDescent="0.25">
      <c r="A61" s="45" t="s">
        <v>70</v>
      </c>
      <c r="B61" s="45" t="s">
        <v>9</v>
      </c>
      <c r="C61" s="143">
        <v>451251264</v>
      </c>
      <c r="D61" s="145" t="s">
        <v>10</v>
      </c>
      <c r="E61" s="146">
        <v>1000</v>
      </c>
      <c r="F61" s="152" t="s">
        <v>11</v>
      </c>
      <c r="G61" s="174">
        <v>1.25</v>
      </c>
      <c r="H61" s="157" t="s">
        <v>12</v>
      </c>
      <c r="I61" s="161">
        <f t="shared" si="14"/>
        <v>564064.08000000007</v>
      </c>
      <c r="J61" s="128">
        <v>378627252</v>
      </c>
      <c r="K61" s="55" t="s">
        <v>10</v>
      </c>
      <c r="L61" s="55">
        <v>1000</v>
      </c>
      <c r="M61" s="55" t="s">
        <v>11</v>
      </c>
      <c r="N61" s="180">
        <v>0.84491084120000004</v>
      </c>
      <c r="O61" s="54" t="s">
        <v>12</v>
      </c>
      <c r="P61" s="57">
        <v>319906.26998856437</v>
      </c>
      <c r="Q61" s="42">
        <f t="shared" si="15"/>
        <v>72624012</v>
      </c>
      <c r="R61" s="171">
        <f t="shared" si="16"/>
        <v>0.40508915879999996</v>
      </c>
      <c r="S61" s="42">
        <f t="shared" si="17"/>
        <v>244157.81001143571</v>
      </c>
      <c r="T61" s="185">
        <f t="shared" si="3"/>
        <v>0.76321670725667101</v>
      </c>
    </row>
    <row r="62" spans="1:20" x14ac:dyDescent="0.25">
      <c r="A62" s="29" t="s">
        <v>71</v>
      </c>
      <c r="B62" s="29" t="s">
        <v>9</v>
      </c>
      <c r="C62" s="144">
        <v>1829463940</v>
      </c>
      <c r="D62" s="147" t="s">
        <v>10</v>
      </c>
      <c r="E62" s="148">
        <v>1000</v>
      </c>
      <c r="F62" s="153" t="s">
        <v>11</v>
      </c>
      <c r="G62" s="175">
        <v>0.37437332600000001</v>
      </c>
      <c r="H62" s="158" t="s">
        <v>12</v>
      </c>
      <c r="I62" s="162">
        <f t="shared" si="14"/>
        <v>684902.50001486437</v>
      </c>
      <c r="J62" s="129">
        <v>1612093614</v>
      </c>
      <c r="K62" s="39" t="s">
        <v>10</v>
      </c>
      <c r="L62" s="39">
        <v>1000</v>
      </c>
      <c r="M62" s="39" t="s">
        <v>11</v>
      </c>
      <c r="N62" s="179">
        <v>0.40895555589999999</v>
      </c>
      <c r="O62" s="38" t="s">
        <v>12</v>
      </c>
      <c r="P62" s="41">
        <v>659274.64007621002</v>
      </c>
      <c r="Q62" s="58">
        <f t="shared" si="15"/>
        <v>217370326</v>
      </c>
      <c r="R62" s="172">
        <f t="shared" si="16"/>
        <v>-3.4582229899999983E-2</v>
      </c>
      <c r="S62" s="58">
        <f t="shared" si="17"/>
        <v>25627.85993865435</v>
      </c>
      <c r="T62" s="186">
        <f t="shared" si="3"/>
        <v>3.887281321133762E-2</v>
      </c>
    </row>
    <row r="63" spans="1:20" hidden="1" x14ac:dyDescent="0.25">
      <c r="A63" s="118" t="s">
        <v>88</v>
      </c>
      <c r="B63" s="118" t="s">
        <v>19</v>
      </c>
      <c r="C63" s="141"/>
      <c r="D63" s="145" t="s">
        <v>10</v>
      </c>
      <c r="E63" s="146">
        <v>1000</v>
      </c>
      <c r="F63" s="152" t="s">
        <v>11</v>
      </c>
      <c r="G63" s="177"/>
      <c r="H63" s="157" t="s">
        <v>12</v>
      </c>
      <c r="I63" s="161">
        <f t="shared" si="14"/>
        <v>0</v>
      </c>
      <c r="J63" s="37"/>
      <c r="K63" s="39" t="s">
        <v>10</v>
      </c>
      <c r="L63" s="39">
        <v>1000</v>
      </c>
      <c r="M63" s="39" t="s">
        <v>11</v>
      </c>
      <c r="N63" s="179"/>
      <c r="O63" s="38" t="s">
        <v>12</v>
      </c>
      <c r="P63" s="41">
        <v>0</v>
      </c>
      <c r="Q63" s="42">
        <f t="shared" si="15"/>
        <v>0</v>
      </c>
      <c r="R63" s="171">
        <f t="shared" si="16"/>
        <v>0</v>
      </c>
      <c r="S63" s="42">
        <f t="shared" si="17"/>
        <v>0</v>
      </c>
      <c r="T63" s="185" t="e">
        <f t="shared" si="3"/>
        <v>#DIV/0!</v>
      </c>
    </row>
    <row r="64" spans="1:20" ht="15.75" thickBot="1" x14ac:dyDescent="0.3">
      <c r="A64" s="140" t="s">
        <v>111</v>
      </c>
      <c r="B64" s="29" t="s">
        <v>19</v>
      </c>
      <c r="C64" s="166" t="s">
        <v>114</v>
      </c>
      <c r="D64" s="145"/>
      <c r="E64" s="146">
        <v>1000</v>
      </c>
      <c r="F64" s="152" t="s">
        <v>11</v>
      </c>
      <c r="G64" s="174">
        <v>0</v>
      </c>
      <c r="H64" s="157" t="s">
        <v>12</v>
      </c>
      <c r="I64" s="161">
        <v>0</v>
      </c>
      <c r="J64" s="128">
        <v>1593064863</v>
      </c>
      <c r="K64" s="38" t="s">
        <v>10</v>
      </c>
      <c r="L64" s="39">
        <v>1000</v>
      </c>
      <c r="M64" s="39" t="s">
        <v>11</v>
      </c>
      <c r="N64" s="179">
        <v>1.3051540136999999</v>
      </c>
      <c r="O64" s="38" t="s">
        <v>12</v>
      </c>
      <c r="P64" s="41">
        <v>2079195.0000288903</v>
      </c>
      <c r="Q64" s="167" t="s">
        <v>114</v>
      </c>
      <c r="R64" s="171">
        <f t="shared" si="16"/>
        <v>-1.3051540136999999</v>
      </c>
      <c r="S64" s="42">
        <f t="shared" si="17"/>
        <v>-2079195.0000288903</v>
      </c>
      <c r="T64" s="185">
        <f t="shared" si="3"/>
        <v>-1</v>
      </c>
    </row>
    <row r="65" spans="1:20" ht="15.75" thickBot="1" x14ac:dyDescent="0.3">
      <c r="A65" s="78" t="s">
        <v>72</v>
      </c>
      <c r="B65" s="79"/>
      <c r="C65" s="142"/>
      <c r="D65" s="149"/>
      <c r="E65" s="150"/>
      <c r="F65" s="154"/>
      <c r="G65" s="176"/>
      <c r="H65" s="159"/>
      <c r="I65" s="159"/>
      <c r="J65" s="80"/>
      <c r="K65" s="80"/>
      <c r="L65" s="80"/>
      <c r="M65" s="80"/>
      <c r="N65" s="181"/>
      <c r="O65" s="80"/>
      <c r="P65" s="80"/>
      <c r="Q65" s="86"/>
      <c r="R65" s="173"/>
      <c r="S65" s="86"/>
      <c r="T65" s="187"/>
    </row>
    <row r="66" spans="1:20" x14ac:dyDescent="0.25">
      <c r="A66" s="45" t="s">
        <v>73</v>
      </c>
      <c r="B66" s="45" t="s">
        <v>9</v>
      </c>
      <c r="C66" s="143">
        <v>1309414466</v>
      </c>
      <c r="D66" s="145" t="s">
        <v>10</v>
      </c>
      <c r="E66" s="146">
        <v>1000</v>
      </c>
      <c r="F66" s="152" t="s">
        <v>11</v>
      </c>
      <c r="G66" s="174">
        <v>1.4575094800000001E-2</v>
      </c>
      <c r="H66" s="157" t="s">
        <v>12</v>
      </c>
      <c r="I66" s="161">
        <f>C66/E66*G66</f>
        <v>19084.839974441376</v>
      </c>
      <c r="J66" s="128">
        <v>1129334270</v>
      </c>
      <c r="K66" s="98" t="s">
        <v>10</v>
      </c>
      <c r="L66" s="98">
        <v>1000</v>
      </c>
      <c r="M66" s="98" t="s">
        <v>11</v>
      </c>
      <c r="N66" s="182">
        <v>1.6725269500000001E-2</v>
      </c>
      <c r="O66" s="100" t="s">
        <v>12</v>
      </c>
      <c r="P66" s="101">
        <v>18888.420021335765</v>
      </c>
      <c r="Q66" s="42">
        <f>C66-J66</f>
        <v>180080196</v>
      </c>
      <c r="R66" s="171">
        <f>G66-N66</f>
        <v>-2.1501747000000002E-3</v>
      </c>
      <c r="S66" s="42">
        <f>I66-P66</f>
        <v>196.41995310561106</v>
      </c>
      <c r="T66" s="185">
        <f t="shared" si="3"/>
        <v>1.0398961526890087E-2</v>
      </c>
    </row>
    <row r="67" spans="1:20" x14ac:dyDescent="0.25">
      <c r="A67" s="29" t="s">
        <v>74</v>
      </c>
      <c r="B67" s="29" t="s">
        <v>9</v>
      </c>
      <c r="C67" s="144">
        <v>758675435</v>
      </c>
      <c r="D67" s="147" t="s">
        <v>10</v>
      </c>
      <c r="E67" s="148">
        <v>1000</v>
      </c>
      <c r="F67" s="153" t="s">
        <v>11</v>
      </c>
      <c r="G67" s="175">
        <v>6.8968662400000005E-2</v>
      </c>
      <c r="H67" s="158" t="s">
        <v>12</v>
      </c>
      <c r="I67" s="162">
        <f>C67/E67*G67</f>
        <v>52324.829947688151</v>
      </c>
      <c r="J67" s="129">
        <v>672427904</v>
      </c>
      <c r="K67" s="39" t="s">
        <v>10</v>
      </c>
      <c r="L67" s="39">
        <v>1000</v>
      </c>
      <c r="M67" s="39" t="s">
        <v>11</v>
      </c>
      <c r="N67" s="179">
        <v>7.5032668499999997E-2</v>
      </c>
      <c r="O67" s="38" t="s">
        <v>12</v>
      </c>
      <c r="P67" s="41">
        <v>50454.060010981819</v>
      </c>
      <c r="Q67" s="58">
        <f>C67-J67</f>
        <v>86247531</v>
      </c>
      <c r="R67" s="172">
        <f>G67-N67</f>
        <v>-6.0640060999999912E-3</v>
      </c>
      <c r="S67" s="58">
        <f>I67-P67</f>
        <v>1870.7699367063324</v>
      </c>
      <c r="T67" s="186">
        <f t="shared" ref="T67:T75" si="18">(I67-P67)/P67</f>
        <v>3.7078679818812223E-2</v>
      </c>
    </row>
    <row r="68" spans="1:20" x14ac:dyDescent="0.25">
      <c r="A68" s="45" t="s">
        <v>75</v>
      </c>
      <c r="B68" s="45" t="s">
        <v>9</v>
      </c>
      <c r="C68" s="143">
        <v>313469283</v>
      </c>
      <c r="D68" s="145" t="s">
        <v>10</v>
      </c>
      <c r="E68" s="146">
        <v>1000</v>
      </c>
      <c r="F68" s="152" t="s">
        <v>11</v>
      </c>
      <c r="G68" s="174">
        <v>8.2301748199999997E-2</v>
      </c>
      <c r="H68" s="157" t="s">
        <v>12</v>
      </c>
      <c r="I68" s="161">
        <f>C68/E68*G68</f>
        <v>25799.06999790054</v>
      </c>
      <c r="J68" s="128">
        <v>281450371</v>
      </c>
      <c r="K68" s="55" t="s">
        <v>10</v>
      </c>
      <c r="L68" s="55">
        <v>1000</v>
      </c>
      <c r="M68" s="55" t="s">
        <v>11</v>
      </c>
      <c r="N68" s="180">
        <v>8.8768936100000001E-2</v>
      </c>
      <c r="O68" s="54" t="s">
        <v>12</v>
      </c>
      <c r="P68" s="57">
        <v>24984.049998620292</v>
      </c>
      <c r="Q68" s="42">
        <f>C68-J68</f>
        <v>32018912</v>
      </c>
      <c r="R68" s="171">
        <f>G68-N68</f>
        <v>-6.4671879000000043E-3</v>
      </c>
      <c r="S68" s="42">
        <f>I68-P68</f>
        <v>815.01999928024816</v>
      </c>
      <c r="T68" s="185">
        <f t="shared" si="18"/>
        <v>3.2621612561824699E-2</v>
      </c>
    </row>
    <row r="69" spans="1:20" ht="15.75" thickBot="1" x14ac:dyDescent="0.3">
      <c r="A69" s="29" t="s">
        <v>76</v>
      </c>
      <c r="B69" s="29" t="s">
        <v>9</v>
      </c>
      <c r="C69" s="144">
        <v>4303749262</v>
      </c>
      <c r="D69" s="147" t="s">
        <v>10</v>
      </c>
      <c r="E69" s="148">
        <v>1000</v>
      </c>
      <c r="F69" s="153" t="s">
        <v>11</v>
      </c>
      <c r="G69" s="175">
        <v>2.7215375E-2</v>
      </c>
      <c r="H69" s="158" t="s">
        <v>12</v>
      </c>
      <c r="I69" s="162">
        <f>C69/E69*G69</f>
        <v>117128.15007130326</v>
      </c>
      <c r="J69" s="129">
        <v>3794843540</v>
      </c>
      <c r="K69" s="39" t="s">
        <v>10</v>
      </c>
      <c r="L69" s="39">
        <v>1000</v>
      </c>
      <c r="M69" s="39" t="s">
        <v>11</v>
      </c>
      <c r="N69" s="179">
        <v>2.9719978899999999E-2</v>
      </c>
      <c r="O69" s="38" t="s">
        <v>12</v>
      </c>
      <c r="P69" s="41">
        <v>112782.6699376013</v>
      </c>
      <c r="Q69" s="58">
        <f>C69-J69</f>
        <v>508905722</v>
      </c>
      <c r="R69" s="172">
        <f>G69-N69</f>
        <v>-2.5046038999999992E-3</v>
      </c>
      <c r="S69" s="58">
        <f>I69-P69</f>
        <v>4345.4801337019599</v>
      </c>
      <c r="T69" s="186">
        <f t="shared" si="18"/>
        <v>3.852967956961971E-2</v>
      </c>
    </row>
    <row r="70" spans="1:20" ht="15.75" thickBot="1" x14ac:dyDescent="0.3">
      <c r="A70" s="78" t="s">
        <v>77</v>
      </c>
      <c r="B70" s="79"/>
      <c r="C70" s="142"/>
      <c r="D70" s="149"/>
      <c r="E70" s="150"/>
      <c r="F70" s="154"/>
      <c r="G70" s="176"/>
      <c r="H70" s="159"/>
      <c r="I70" s="159"/>
      <c r="J70" s="80"/>
      <c r="K70" s="80"/>
      <c r="L70" s="80"/>
      <c r="M70" s="80"/>
      <c r="N70" s="181"/>
      <c r="O70" s="80"/>
      <c r="P70" s="80"/>
      <c r="Q70" s="86"/>
      <c r="R70" s="173"/>
      <c r="S70" s="86"/>
      <c r="T70" s="187"/>
    </row>
    <row r="71" spans="1:20" x14ac:dyDescent="0.25">
      <c r="A71" s="107" t="s">
        <v>78</v>
      </c>
      <c r="B71" s="89" t="s">
        <v>9</v>
      </c>
      <c r="C71" s="143">
        <v>8049689871</v>
      </c>
      <c r="D71" s="145" t="s">
        <v>10</v>
      </c>
      <c r="E71" s="146">
        <v>1000</v>
      </c>
      <c r="F71" s="152" t="s">
        <v>11</v>
      </c>
      <c r="G71" s="174">
        <f>0.1380255933+0.0002105236</f>
        <v>0.13823611690000001</v>
      </c>
      <c r="H71" s="157" t="s">
        <v>12</v>
      </c>
      <c r="I71" s="161">
        <v>1111063.22</v>
      </c>
      <c r="J71" s="128">
        <v>7155347432</v>
      </c>
      <c r="K71" s="39" t="s">
        <v>10</v>
      </c>
      <c r="L71" s="39">
        <v>1000</v>
      </c>
      <c r="M71" s="39" t="s">
        <v>11</v>
      </c>
      <c r="N71" s="179">
        <v>0.16554124049999999</v>
      </c>
      <c r="O71" s="38" t="s">
        <v>12</v>
      </c>
      <c r="P71" s="41">
        <v>1185847.1301017695</v>
      </c>
      <c r="Q71" s="42">
        <f>C71-J71</f>
        <v>894342439</v>
      </c>
      <c r="R71" s="171">
        <f>G71-N71</f>
        <v>-2.7305123599999981E-2</v>
      </c>
      <c r="S71" s="42">
        <f>I71-P71</f>
        <v>-74783.910101769492</v>
      </c>
      <c r="T71" s="185">
        <f t="shared" si="18"/>
        <v>-6.3063702060274437E-2</v>
      </c>
    </row>
    <row r="72" spans="1:20" x14ac:dyDescent="0.25">
      <c r="A72" s="45" t="s">
        <v>79</v>
      </c>
      <c r="B72" s="12" t="s">
        <v>9</v>
      </c>
      <c r="C72" s="144">
        <v>8049689871</v>
      </c>
      <c r="D72" s="147" t="s">
        <v>10</v>
      </c>
      <c r="E72" s="148">
        <v>1000</v>
      </c>
      <c r="F72" s="153" t="s">
        <v>11</v>
      </c>
      <c r="G72" s="175">
        <f>0.1813734471+0.0002105236</f>
        <v>0.18158397070000001</v>
      </c>
      <c r="H72" s="158" t="s">
        <v>12</v>
      </c>
      <c r="I72" s="162">
        <f>C72/E72*G72</f>
        <v>1461694.6496797509</v>
      </c>
      <c r="J72" s="129">
        <v>7155347432</v>
      </c>
      <c r="K72" s="55" t="s">
        <v>10</v>
      </c>
      <c r="L72" s="55">
        <v>1000</v>
      </c>
      <c r="M72" s="55" t="s">
        <v>11</v>
      </c>
      <c r="N72" s="183">
        <v>0.18168230299999999</v>
      </c>
      <c r="O72" s="54" t="s">
        <v>12</v>
      </c>
      <c r="P72" s="57">
        <v>1300000.0002108959</v>
      </c>
      <c r="Q72" s="58">
        <f>C72-J72</f>
        <v>894342439</v>
      </c>
      <c r="R72" s="172">
        <f>G72-N72</f>
        <v>-9.8332299999975836E-5</v>
      </c>
      <c r="S72" s="58">
        <f>I72-P72</f>
        <v>161694.649468855</v>
      </c>
      <c r="T72" s="186">
        <f t="shared" si="18"/>
        <v>0.12438049957124897</v>
      </c>
    </row>
    <row r="73" spans="1:20" x14ac:dyDescent="0.25">
      <c r="A73" s="118" t="s">
        <v>80</v>
      </c>
      <c r="B73" s="29" t="s">
        <v>9</v>
      </c>
      <c r="C73" s="143">
        <v>3508269647</v>
      </c>
      <c r="D73" s="145" t="s">
        <v>10</v>
      </c>
      <c r="E73" s="146">
        <v>1000</v>
      </c>
      <c r="F73" s="152" t="s">
        <v>11</v>
      </c>
      <c r="G73" s="174">
        <v>0.1717891641</v>
      </c>
      <c r="H73" s="157" t="s">
        <v>12</v>
      </c>
      <c r="I73" s="161">
        <f>C73/E73*G73</f>
        <v>602682.71009553201</v>
      </c>
      <c r="J73" s="128">
        <v>3007028313</v>
      </c>
      <c r="K73" s="39" t="s">
        <v>10</v>
      </c>
      <c r="L73" s="39">
        <v>1000</v>
      </c>
      <c r="M73" s="39" t="s">
        <v>11</v>
      </c>
      <c r="N73" s="179">
        <v>0.186850655</v>
      </c>
      <c r="O73" s="38" t="s">
        <v>12</v>
      </c>
      <c r="P73" s="41">
        <v>561865.20988759503</v>
      </c>
      <c r="Q73" s="42">
        <f>C73-J73</f>
        <v>501241334</v>
      </c>
      <c r="R73" s="171">
        <f>G73-N73</f>
        <v>-1.5061490900000002E-2</v>
      </c>
      <c r="S73" s="42">
        <f>I73-P73</f>
        <v>40817.500207936973</v>
      </c>
      <c r="T73" s="185">
        <f t="shared" si="18"/>
        <v>7.2646427452062373E-2</v>
      </c>
    </row>
    <row r="74" spans="1:20" x14ac:dyDescent="0.25">
      <c r="A74" s="45" t="s">
        <v>81</v>
      </c>
      <c r="B74" s="45" t="s">
        <v>9</v>
      </c>
      <c r="C74" s="144">
        <v>40886953291</v>
      </c>
      <c r="D74" s="147" t="s">
        <v>10</v>
      </c>
      <c r="E74" s="148">
        <v>1000</v>
      </c>
      <c r="F74" s="153" t="s">
        <v>11</v>
      </c>
      <c r="G74" s="175">
        <v>0.1046635578</v>
      </c>
      <c r="H74" s="158" t="s">
        <v>12</v>
      </c>
      <c r="I74" s="162">
        <f>C74/E74*G74</f>
        <v>4279373.9990384793</v>
      </c>
      <c r="J74" s="129">
        <v>36028142900</v>
      </c>
      <c r="K74" s="55" t="s">
        <v>10</v>
      </c>
      <c r="L74" s="55">
        <v>1000</v>
      </c>
      <c r="M74" s="55" t="s">
        <v>11</v>
      </c>
      <c r="N74" s="180">
        <v>0.11857166800000001</v>
      </c>
      <c r="O74" s="54" t="s">
        <v>12</v>
      </c>
      <c r="P74" s="57">
        <v>4271916.9985953569</v>
      </c>
      <c r="Q74" s="58">
        <f>C74-J74</f>
        <v>4858810391</v>
      </c>
      <c r="R74" s="172">
        <f>G74-N74</f>
        <v>-1.3908110200000004E-2</v>
      </c>
      <c r="S74" s="58">
        <f>I74-P74</f>
        <v>7457.0004431223497</v>
      </c>
      <c r="T74" s="186">
        <f t="shared" si="18"/>
        <v>1.7455864534761034E-3</v>
      </c>
    </row>
    <row r="75" spans="1:20" x14ac:dyDescent="0.25">
      <c r="A75" s="45" t="s">
        <v>82</v>
      </c>
      <c r="B75" s="45" t="s">
        <v>9</v>
      </c>
      <c r="C75" s="143">
        <v>40886953291</v>
      </c>
      <c r="D75" s="145" t="s">
        <v>10</v>
      </c>
      <c r="E75" s="146">
        <v>1000</v>
      </c>
      <c r="F75" s="152" t="s">
        <v>11</v>
      </c>
      <c r="G75" s="174">
        <v>0.13959181449999999</v>
      </c>
      <c r="H75" s="157" t="s">
        <v>12</v>
      </c>
      <c r="I75" s="161">
        <f>C75/E75*G75</f>
        <v>5707483.9992674366</v>
      </c>
      <c r="J75" s="128">
        <v>36028142900</v>
      </c>
      <c r="K75" s="39" t="s">
        <v>10</v>
      </c>
      <c r="L75" s="39">
        <v>1000</v>
      </c>
      <c r="M75" s="39" t="s">
        <v>11</v>
      </c>
      <c r="N75" s="179">
        <v>0.15862435699999999</v>
      </c>
      <c r="O75" s="38" t="s">
        <v>12</v>
      </c>
      <c r="P75" s="41">
        <v>5714941.0014166152</v>
      </c>
      <c r="Q75" s="42">
        <f>C75-J75</f>
        <v>4858810391</v>
      </c>
      <c r="R75" s="171">
        <f>G75-N75</f>
        <v>-1.9032542499999999E-2</v>
      </c>
      <c r="S75" s="42">
        <f>I75-P75</f>
        <v>-7457.0021491786465</v>
      </c>
      <c r="T75" s="185">
        <f t="shared" si="18"/>
        <v>-1.3048257448904914E-3</v>
      </c>
    </row>
    <row r="76" spans="1:20" x14ac:dyDescent="0.25">
      <c r="C76" s="112"/>
      <c r="E76" s="113"/>
      <c r="I76" s="164"/>
      <c r="P76" s="115"/>
      <c r="Q76" s="116"/>
      <c r="R76" s="117"/>
      <c r="S76" s="116"/>
    </row>
    <row r="77" spans="1:20" x14ac:dyDescent="0.25">
      <c r="C77" s="164"/>
      <c r="I77" s="164"/>
      <c r="P77" s="115"/>
    </row>
    <row r="78" spans="1:20" x14ac:dyDescent="0.25">
      <c r="I78" s="164"/>
      <c r="P78" s="115"/>
    </row>
    <row r="89" spans="10:11" x14ac:dyDescent="0.25">
      <c r="J89" s="42"/>
      <c r="K89" s="43"/>
    </row>
    <row r="90" spans="10:11" x14ac:dyDescent="0.25">
      <c r="J90" s="58"/>
      <c r="K90" s="59"/>
    </row>
  </sheetData>
  <printOptions horizontalCentered="1" gridLines="1"/>
  <pageMargins left="0.5" right="0.5" top="0.5" bottom="1" header="0.3" footer="0.3"/>
  <pageSetup paperSize="5" scale="72" fitToHeight="0" orientation="landscape" r:id="rId1"/>
  <headerFooter>
    <oddHeader>&amp;C&amp;"-,Bold"&amp;14Comparison by Levy Report</oddHeader>
    <oddFooter>&amp;L&amp;"-,Bold"Legend&amp;"-,Regular":
AV =  Taxable Assessed Value
GF = General Fund
Enrichment = Former M+O&amp;CPage &amp;P of &amp;N&amp;R
Nick Deatherage
Note: Administrative  Refund Levies are bundled with their parent levy.</oddFooter>
  </headerFooter>
  <rowBreaks count="2" manualBreakCount="2">
    <brk id="25" max="16383" man="1"/>
    <brk id="5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90"/>
  <sheetViews>
    <sheetView zoomScale="85" zoomScaleNormal="85" workbookViewId="0">
      <selection activeCell="J29" sqref="J29"/>
    </sheetView>
  </sheetViews>
  <sheetFormatPr defaultRowHeight="15" x14ac:dyDescent="0.25"/>
  <cols>
    <col min="1" max="1" width="25.28515625" style="28" customWidth="1"/>
    <col min="2" max="2" width="7.7109375" style="28" bestFit="1" customWidth="1"/>
    <col min="3" max="3" width="16" style="28" customWidth="1"/>
    <col min="4" max="4" width="3.7109375" style="113" customWidth="1"/>
    <col min="5" max="5" width="9.140625" style="28"/>
    <col min="6" max="6" width="3.7109375" style="113" customWidth="1"/>
    <col min="7" max="7" width="12.5703125" style="28" bestFit="1" customWidth="1"/>
    <col min="8" max="8" width="3.7109375" style="113" customWidth="1"/>
    <col min="9" max="9" width="16.5703125" style="28" customWidth="1"/>
    <col min="10" max="10" width="17.7109375" style="28" customWidth="1"/>
    <col min="11" max="11" width="3.7109375" style="113" customWidth="1"/>
    <col min="12" max="12" width="9.140625" style="28"/>
    <col min="13" max="13" width="3.7109375" style="113" customWidth="1"/>
    <col min="14" max="14" width="12.5703125" style="28" customWidth="1"/>
    <col min="15" max="15" width="3.7109375" style="113" customWidth="1"/>
    <col min="16" max="16" width="16.28515625" style="28" bestFit="1" customWidth="1"/>
    <col min="17" max="17" width="16.42578125" style="28" customWidth="1"/>
    <col min="18" max="18" width="14.140625" style="28" bestFit="1" customWidth="1"/>
    <col min="19" max="19" width="14.28515625" style="28" customWidth="1"/>
    <col min="20" max="21" width="9.140625" style="28"/>
    <col min="22" max="23" width="12.7109375" style="28" bestFit="1" customWidth="1"/>
    <col min="24" max="16384" width="9.140625" style="28"/>
  </cols>
  <sheetData>
    <row r="1" spans="1:23" s="11" customFormat="1" ht="30.75" thickBot="1" x14ac:dyDescent="0.3">
      <c r="A1" s="1" t="s">
        <v>0</v>
      </c>
      <c r="B1" s="2" t="s">
        <v>1</v>
      </c>
      <c r="C1" s="3" t="s">
        <v>103</v>
      </c>
      <c r="D1" s="4"/>
      <c r="E1" s="5" t="s">
        <v>3</v>
      </c>
      <c r="F1" s="4"/>
      <c r="G1" s="3" t="s">
        <v>104</v>
      </c>
      <c r="H1" s="6"/>
      <c r="I1" s="3" t="s">
        <v>5</v>
      </c>
      <c r="J1" s="7" t="s">
        <v>95</v>
      </c>
      <c r="K1" s="7"/>
      <c r="L1" s="8" t="s">
        <v>3</v>
      </c>
      <c r="M1" s="7"/>
      <c r="N1" s="7" t="s">
        <v>96</v>
      </c>
      <c r="O1" s="9"/>
      <c r="P1" s="7" t="s">
        <v>5</v>
      </c>
      <c r="Q1" s="2" t="s">
        <v>109</v>
      </c>
      <c r="R1" s="2" t="s">
        <v>7</v>
      </c>
      <c r="S1" s="2" t="s">
        <v>105</v>
      </c>
    </row>
    <row r="2" spans="1:23" x14ac:dyDescent="0.25">
      <c r="A2" s="29" t="s">
        <v>106</v>
      </c>
      <c r="B2" s="29" t="s">
        <v>9</v>
      </c>
      <c r="C2" s="30">
        <v>57223984731</v>
      </c>
      <c r="D2" s="31" t="s">
        <v>10</v>
      </c>
      <c r="E2" s="32">
        <v>1000</v>
      </c>
      <c r="F2" s="33" t="s">
        <v>11</v>
      </c>
      <c r="G2" s="34">
        <v>1.8755478057999999</v>
      </c>
      <c r="H2" s="35" t="s">
        <v>12</v>
      </c>
      <c r="I2" s="36">
        <f t="shared" ref="I2:I9" si="0">C2/E2*G2</f>
        <v>107326319.00135975</v>
      </c>
      <c r="J2" s="128">
        <v>52287443142</v>
      </c>
      <c r="K2" s="38" t="s">
        <v>10</v>
      </c>
      <c r="L2" s="39">
        <v>1000</v>
      </c>
      <c r="M2" s="39" t="s">
        <v>11</v>
      </c>
      <c r="N2" s="40">
        <v>1.9808714248999999</v>
      </c>
      <c r="O2" s="38" t="s">
        <v>12</v>
      </c>
      <c r="P2" s="41">
        <f>(J2/L2)*N2</f>
        <v>103574702.00107126</v>
      </c>
      <c r="Q2" s="42">
        <f>C2-J2</f>
        <v>4936541589</v>
      </c>
      <c r="R2" s="43">
        <f t="shared" ref="R2:R9" si="1">G2-N2</f>
        <v>-0.10532361909999999</v>
      </c>
      <c r="S2" s="42">
        <f t="shared" ref="S2:S9" si="2">I2-P2</f>
        <v>3751617.0002884865</v>
      </c>
    </row>
    <row r="3" spans="1:23" x14ac:dyDescent="0.25">
      <c r="A3" s="126" t="s">
        <v>107</v>
      </c>
      <c r="B3" s="45" t="s">
        <v>9</v>
      </c>
      <c r="C3" s="46">
        <v>56695983074</v>
      </c>
      <c r="D3" s="47" t="s">
        <v>10</v>
      </c>
      <c r="E3" s="48">
        <v>1000</v>
      </c>
      <c r="F3" s="49" t="s">
        <v>11</v>
      </c>
      <c r="G3" s="50">
        <v>1.0187636913</v>
      </c>
      <c r="H3" s="51" t="s">
        <v>12</v>
      </c>
      <c r="I3" s="52">
        <f t="shared" si="0"/>
        <v>57759808.998350561</v>
      </c>
      <c r="J3" s="129"/>
      <c r="K3" s="54" t="s">
        <v>10</v>
      </c>
      <c r="L3" s="55">
        <v>1000</v>
      </c>
      <c r="M3" s="55" t="s">
        <v>11</v>
      </c>
      <c r="N3" s="127">
        <v>0</v>
      </c>
      <c r="O3" s="54"/>
      <c r="P3" s="57">
        <f t="shared" ref="P3:P9" si="3">(J3/L3)*N3</f>
        <v>0</v>
      </c>
      <c r="Q3" s="131">
        <v>0</v>
      </c>
      <c r="R3" s="59">
        <f>G3-N3</f>
        <v>1.0187636913</v>
      </c>
      <c r="S3" s="58">
        <f>I3-P3</f>
        <v>57759808.998350561</v>
      </c>
    </row>
    <row r="4" spans="1:23" x14ac:dyDescent="0.25">
      <c r="A4" s="29" t="s">
        <v>13</v>
      </c>
      <c r="B4" s="29" t="s">
        <v>9</v>
      </c>
      <c r="C4" s="30">
        <v>57227312739</v>
      </c>
      <c r="D4" s="31" t="s">
        <v>10</v>
      </c>
      <c r="E4" s="32">
        <v>1000</v>
      </c>
      <c r="F4" s="33" t="s">
        <v>11</v>
      </c>
      <c r="G4" s="34">
        <v>1.1089871511</v>
      </c>
      <c r="H4" s="35" t="s">
        <v>12</v>
      </c>
      <c r="I4" s="36">
        <f t="shared" si="0"/>
        <v>63464354.519532345</v>
      </c>
      <c r="J4" s="128">
        <v>52292128421</v>
      </c>
      <c r="K4" s="38" t="s">
        <v>10</v>
      </c>
      <c r="L4" s="39">
        <v>1000</v>
      </c>
      <c r="M4" s="39" t="s">
        <v>11</v>
      </c>
      <c r="N4" s="40">
        <v>1.1752953046000001</v>
      </c>
      <c r="O4" s="38" t="s">
        <v>12</v>
      </c>
      <c r="P4" s="41">
        <f t="shared" si="3"/>
        <v>61458693.000741512</v>
      </c>
      <c r="Q4" s="42">
        <f>C4-J4</f>
        <v>4935184318</v>
      </c>
      <c r="R4" s="43">
        <f t="shared" si="1"/>
        <v>-6.6308153500000078E-2</v>
      </c>
      <c r="S4" s="42">
        <f>I4-P4</f>
        <v>2005661.5187908337</v>
      </c>
    </row>
    <row r="5" spans="1:23" x14ac:dyDescent="0.25">
      <c r="A5" s="45" t="s">
        <v>14</v>
      </c>
      <c r="B5" s="45" t="s">
        <v>9</v>
      </c>
      <c r="C5" s="46">
        <v>57227312739</v>
      </c>
      <c r="D5" s="47" t="s">
        <v>10</v>
      </c>
      <c r="E5" s="48">
        <v>1000</v>
      </c>
      <c r="F5" s="49" t="s">
        <v>11</v>
      </c>
      <c r="G5" s="50">
        <v>4.31821898E-2</v>
      </c>
      <c r="H5" s="51" t="s">
        <v>12</v>
      </c>
      <c r="I5" s="52">
        <f t="shared" si="0"/>
        <v>2471200.6804394559</v>
      </c>
      <c r="J5" s="129">
        <v>52292128421</v>
      </c>
      <c r="K5" s="54" t="s">
        <v>10</v>
      </c>
      <c r="L5" s="55">
        <v>1000</v>
      </c>
      <c r="M5" s="55" t="s">
        <v>11</v>
      </c>
      <c r="N5" s="56">
        <v>4.6208799500000002E-2</v>
      </c>
      <c r="O5" s="54" t="s">
        <v>12</v>
      </c>
      <c r="P5" s="57">
        <f t="shared" si="3"/>
        <v>2416356.4776342404</v>
      </c>
      <c r="Q5" s="58">
        <f t="shared" ref="Q5:Q9" si="4">C5-J5</f>
        <v>4935184318</v>
      </c>
      <c r="R5" s="59">
        <f t="shared" si="1"/>
        <v>-3.026609700000002E-3</v>
      </c>
      <c r="S5" s="58">
        <f t="shared" si="2"/>
        <v>54844.202805215493</v>
      </c>
    </row>
    <row r="6" spans="1:23" x14ac:dyDescent="0.25">
      <c r="A6" s="29" t="s">
        <v>15</v>
      </c>
      <c r="B6" s="29" t="s">
        <v>9</v>
      </c>
      <c r="C6" s="30">
        <v>26445838635</v>
      </c>
      <c r="D6" s="31" t="s">
        <v>10</v>
      </c>
      <c r="E6" s="32">
        <v>1000</v>
      </c>
      <c r="F6" s="33" t="s">
        <v>11</v>
      </c>
      <c r="G6" s="34">
        <v>1.5096739187999999</v>
      </c>
      <c r="H6" s="35" t="s">
        <v>12</v>
      </c>
      <c r="I6" s="36">
        <f t="shared" si="0"/>
        <v>39924592.848052889</v>
      </c>
      <c r="J6" s="128">
        <v>24808150213</v>
      </c>
      <c r="K6" s="38" t="s">
        <v>10</v>
      </c>
      <c r="L6" s="39">
        <v>1000</v>
      </c>
      <c r="M6" s="39" t="s">
        <v>11</v>
      </c>
      <c r="N6" s="40">
        <v>1.5719616090999999</v>
      </c>
      <c r="O6" s="38" t="s">
        <v>12</v>
      </c>
      <c r="P6" s="41">
        <f t="shared" si="3"/>
        <v>38997459.727621987</v>
      </c>
      <c r="Q6" s="42">
        <f t="shared" si="4"/>
        <v>1637688422</v>
      </c>
      <c r="R6" s="43">
        <f t="shared" si="1"/>
        <v>-6.2287690300000031E-2</v>
      </c>
      <c r="S6" s="42">
        <f>I6-P6</f>
        <v>927133.12043090165</v>
      </c>
    </row>
    <row r="7" spans="1:23" x14ac:dyDescent="0.25">
      <c r="A7" s="45" t="s">
        <v>16</v>
      </c>
      <c r="B7" s="45" t="s">
        <v>9</v>
      </c>
      <c r="C7" s="46">
        <v>17379154722</v>
      </c>
      <c r="D7" s="47" t="s">
        <v>10</v>
      </c>
      <c r="E7" s="48">
        <v>1000</v>
      </c>
      <c r="F7" s="49" t="s">
        <v>11</v>
      </c>
      <c r="G7" s="50">
        <v>0.1996523056</v>
      </c>
      <c r="H7" s="51" t="s">
        <v>12</v>
      </c>
      <c r="I7" s="52">
        <f t="shared" si="0"/>
        <v>3469788.309626427</v>
      </c>
      <c r="J7" s="129">
        <v>15891428227</v>
      </c>
      <c r="K7" s="54" t="s">
        <v>10</v>
      </c>
      <c r="L7" s="55">
        <v>1000</v>
      </c>
      <c r="M7" s="55" t="s">
        <v>11</v>
      </c>
      <c r="N7" s="56">
        <v>0.212950959</v>
      </c>
      <c r="O7" s="54" t="s">
        <v>12</v>
      </c>
      <c r="P7" s="57">
        <f t="shared" si="3"/>
        <v>3384094.8808193197</v>
      </c>
      <c r="Q7" s="58">
        <f t="shared" si="4"/>
        <v>1487726495</v>
      </c>
      <c r="R7" s="59">
        <f t="shared" si="1"/>
        <v>-1.3298653399999999E-2</v>
      </c>
      <c r="S7" s="58">
        <f t="shared" si="2"/>
        <v>85693.428807107266</v>
      </c>
    </row>
    <row r="8" spans="1:23" x14ac:dyDescent="0.25">
      <c r="A8" s="61" t="s">
        <v>17</v>
      </c>
      <c r="B8" s="61" t="s">
        <v>9</v>
      </c>
      <c r="C8" s="30">
        <v>53076171102</v>
      </c>
      <c r="D8" s="31" t="s">
        <v>10</v>
      </c>
      <c r="E8" s="32">
        <v>1000</v>
      </c>
      <c r="F8" s="33" t="s">
        <v>11</v>
      </c>
      <c r="G8" s="34">
        <v>0.39454773269999999</v>
      </c>
      <c r="H8" s="35" t="s">
        <v>12</v>
      </c>
      <c r="I8" s="36">
        <f t="shared" si="0"/>
        <v>20941082.96869136</v>
      </c>
      <c r="J8" s="128">
        <v>48515428723</v>
      </c>
      <c r="K8" s="38" t="s">
        <v>10</v>
      </c>
      <c r="L8" s="39">
        <v>1000</v>
      </c>
      <c r="M8" s="39" t="s">
        <v>11</v>
      </c>
      <c r="N8" s="40">
        <v>0.41721460040000002</v>
      </c>
      <c r="O8" s="38" t="s">
        <v>12</v>
      </c>
      <c r="P8" s="41">
        <f t="shared" si="3"/>
        <v>20241345.207901128</v>
      </c>
      <c r="Q8" s="42">
        <f t="shared" si="4"/>
        <v>4560742379</v>
      </c>
      <c r="R8" s="43">
        <f t="shared" si="1"/>
        <v>-2.2666867700000037E-2</v>
      </c>
      <c r="S8" s="42">
        <f t="shared" si="2"/>
        <v>699737.76079023257</v>
      </c>
    </row>
    <row r="9" spans="1:23" ht="30.75" thickBot="1" x14ac:dyDescent="0.3">
      <c r="A9" s="77" t="s">
        <v>18</v>
      </c>
      <c r="B9" s="61" t="s">
        <v>19</v>
      </c>
      <c r="C9" s="46">
        <v>19425360221</v>
      </c>
      <c r="D9" s="47" t="s">
        <v>10</v>
      </c>
      <c r="E9" s="48">
        <v>1000</v>
      </c>
      <c r="F9" s="49" t="s">
        <v>11</v>
      </c>
      <c r="G9" s="50">
        <v>0.17594896369999999</v>
      </c>
      <c r="H9" s="51" t="s">
        <v>12</v>
      </c>
      <c r="I9" s="52">
        <f t="shared" si="0"/>
        <v>3417872.0003841529</v>
      </c>
      <c r="J9" s="129">
        <v>17910625930</v>
      </c>
      <c r="K9" s="54" t="s">
        <v>10</v>
      </c>
      <c r="L9" s="55">
        <v>1000</v>
      </c>
      <c r="M9" s="55" t="s">
        <v>11</v>
      </c>
      <c r="N9" s="56">
        <v>0.19341819839999999</v>
      </c>
      <c r="O9" s="54" t="s">
        <v>12</v>
      </c>
      <c r="P9" s="57">
        <f t="shared" si="3"/>
        <v>3464240.9995969245</v>
      </c>
      <c r="Q9" s="58">
        <f t="shared" si="4"/>
        <v>1514734291</v>
      </c>
      <c r="R9" s="59">
        <f t="shared" si="1"/>
        <v>-1.7469234700000003E-2</v>
      </c>
      <c r="S9" s="58">
        <f t="shared" si="2"/>
        <v>-46368.999212771654</v>
      </c>
    </row>
    <row r="10" spans="1:23" ht="15.75" thickBot="1" x14ac:dyDescent="0.3">
      <c r="A10" s="78" t="s">
        <v>20</v>
      </c>
      <c r="B10" s="79"/>
      <c r="C10" s="80"/>
      <c r="D10" s="81"/>
      <c r="E10" s="82"/>
      <c r="F10" s="83"/>
      <c r="G10" s="84"/>
      <c r="H10" s="85"/>
      <c r="I10" s="86"/>
      <c r="J10" s="80"/>
      <c r="K10" s="85"/>
      <c r="L10" s="82"/>
      <c r="M10" s="82"/>
      <c r="N10" s="84"/>
      <c r="O10" s="85"/>
      <c r="P10" s="86"/>
      <c r="Q10" s="86"/>
      <c r="R10" s="86"/>
      <c r="S10" s="86"/>
    </row>
    <row r="11" spans="1:23" x14ac:dyDescent="0.25">
      <c r="A11" s="12" t="s">
        <v>21</v>
      </c>
      <c r="B11" s="12" t="s">
        <v>9</v>
      </c>
      <c r="C11" s="30">
        <v>2033273795</v>
      </c>
      <c r="D11" s="31" t="s">
        <v>10</v>
      </c>
      <c r="E11" s="32">
        <v>1000</v>
      </c>
      <c r="F11" s="33" t="s">
        <v>11</v>
      </c>
      <c r="G11" s="34">
        <v>1.5014265552999999</v>
      </c>
      <c r="H11" s="35" t="s">
        <v>12</v>
      </c>
      <c r="I11" s="36">
        <f t="shared" ref="I11:I25" si="5">C11/E11*G11</f>
        <v>3052811.2700086082</v>
      </c>
      <c r="J11" s="128">
        <v>1824114773</v>
      </c>
      <c r="K11" s="38" t="s">
        <v>10</v>
      </c>
      <c r="L11" s="39">
        <v>1000</v>
      </c>
      <c r="M11" s="39" t="s">
        <v>11</v>
      </c>
      <c r="N11" s="40">
        <v>1.5862626917</v>
      </c>
      <c r="O11" s="38" t="s">
        <v>12</v>
      </c>
      <c r="P11" s="41">
        <f t="shared" ref="P11:P62" si="6">(J11/L11)*N11</f>
        <v>2893525.2097887145</v>
      </c>
      <c r="Q11" s="42">
        <f t="shared" ref="Q11:Q24" si="7">C11-J11</f>
        <v>209159022</v>
      </c>
      <c r="R11" s="43">
        <f t="shared" ref="R11:R24" si="8">G11-N11</f>
        <v>-8.4836136400000095E-2</v>
      </c>
      <c r="S11" s="42">
        <f t="shared" ref="S11:S24" si="9">I11-P11</f>
        <v>159286.0602198937</v>
      </c>
    </row>
    <row r="12" spans="1:23" x14ac:dyDescent="0.25">
      <c r="A12" s="29" t="s">
        <v>22</v>
      </c>
      <c r="B12" s="29" t="s">
        <v>9</v>
      </c>
      <c r="C12" s="46">
        <v>4151141637</v>
      </c>
      <c r="D12" s="47" t="s">
        <v>10</v>
      </c>
      <c r="E12" s="48">
        <v>1000</v>
      </c>
      <c r="F12" s="49" t="s">
        <v>11</v>
      </c>
      <c r="G12" s="50">
        <f>2.8887383493+0.0013505514</f>
        <v>2.8900889006999999</v>
      </c>
      <c r="H12" s="51" t="s">
        <v>12</v>
      </c>
      <c r="I12" s="52">
        <f t="shared" si="5"/>
        <v>11997168.370327329</v>
      </c>
      <c r="J12" s="127">
        <v>3776699698</v>
      </c>
      <c r="K12" s="54" t="s">
        <v>10</v>
      </c>
      <c r="L12" s="55">
        <v>1000</v>
      </c>
      <c r="M12" s="55" t="s">
        <v>11</v>
      </c>
      <c r="N12" s="56">
        <v>3.0752243965999999</v>
      </c>
      <c r="O12" s="54" t="s">
        <v>12</v>
      </c>
      <c r="P12" s="57">
        <f t="shared" si="6"/>
        <v>11614199.049921451</v>
      </c>
      <c r="Q12" s="58">
        <f t="shared" si="7"/>
        <v>374441939</v>
      </c>
      <c r="R12" s="59">
        <f t="shared" si="8"/>
        <v>-0.1851354959</v>
      </c>
      <c r="S12" s="58">
        <f t="shared" si="9"/>
        <v>382969.32040587813</v>
      </c>
    </row>
    <row r="13" spans="1:23" x14ac:dyDescent="0.25">
      <c r="A13" s="29" t="s">
        <v>23</v>
      </c>
      <c r="B13" s="29" t="s">
        <v>9</v>
      </c>
      <c r="C13" s="30">
        <v>4151141637</v>
      </c>
      <c r="D13" s="31" t="s">
        <v>10</v>
      </c>
      <c r="E13" s="32">
        <v>1000</v>
      </c>
      <c r="F13" s="33" t="s">
        <v>11</v>
      </c>
      <c r="G13" s="34">
        <v>0.34550148260000002</v>
      </c>
      <c r="H13" s="35" t="s">
        <v>12</v>
      </c>
      <c r="I13" s="36">
        <f t="shared" si="5"/>
        <v>1434225.5900660912</v>
      </c>
      <c r="J13" s="128">
        <v>3776699698</v>
      </c>
      <c r="K13" s="38" t="s">
        <v>10</v>
      </c>
      <c r="L13" s="39">
        <v>1000</v>
      </c>
      <c r="M13" s="39" t="s">
        <v>11</v>
      </c>
      <c r="N13" s="40">
        <v>0.3660951838</v>
      </c>
      <c r="O13" s="38" t="s">
        <v>12</v>
      </c>
      <c r="P13" s="41">
        <f t="shared" si="6"/>
        <v>1382631.5700967144</v>
      </c>
      <c r="Q13" s="42">
        <f t="shared" si="7"/>
        <v>374441939</v>
      </c>
      <c r="R13" s="43">
        <f t="shared" si="8"/>
        <v>-2.0593701199999981E-2</v>
      </c>
      <c r="S13" s="42">
        <f t="shared" si="9"/>
        <v>51594.019969376735</v>
      </c>
    </row>
    <row r="14" spans="1:23" x14ac:dyDescent="0.25">
      <c r="A14" s="29" t="s">
        <v>24</v>
      </c>
      <c r="B14" s="29" t="s">
        <v>19</v>
      </c>
      <c r="C14" s="46">
        <f>4134428691+37347</f>
        <v>4134466038</v>
      </c>
      <c r="D14" s="47" t="s">
        <v>10</v>
      </c>
      <c r="E14" s="48">
        <v>1000</v>
      </c>
      <c r="F14" s="49" t="s">
        <v>11</v>
      </c>
      <c r="G14" s="50">
        <v>0.149958905</v>
      </c>
      <c r="H14" s="51" t="s">
        <v>12</v>
      </c>
      <c r="I14" s="52">
        <f t="shared" si="5"/>
        <v>619999.99981816846</v>
      </c>
      <c r="J14" s="129">
        <v>3760353818</v>
      </c>
      <c r="K14" s="54" t="s">
        <v>10</v>
      </c>
      <c r="L14" s="55">
        <v>1000</v>
      </c>
      <c r="M14" s="55" t="s">
        <v>11</v>
      </c>
      <c r="N14" s="56">
        <v>0.16647081799999999</v>
      </c>
      <c r="O14" s="54" t="s">
        <v>12</v>
      </c>
      <c r="P14" s="57">
        <f t="shared" si="6"/>
        <v>625989.17605188314</v>
      </c>
      <c r="Q14" s="58">
        <f t="shared" si="7"/>
        <v>374112220</v>
      </c>
      <c r="R14" s="59">
        <f t="shared" si="8"/>
        <v>-1.6511912999999989E-2</v>
      </c>
      <c r="S14" s="58">
        <f t="shared" si="9"/>
        <v>-5989.1762337146793</v>
      </c>
      <c r="W14" s="130"/>
    </row>
    <row r="15" spans="1:23" x14ac:dyDescent="0.25">
      <c r="A15" s="45" t="s">
        <v>25</v>
      </c>
      <c r="B15" s="45" t="s">
        <v>9</v>
      </c>
      <c r="C15" s="30">
        <v>370805513</v>
      </c>
      <c r="D15" s="31" t="s">
        <v>10</v>
      </c>
      <c r="E15" s="32">
        <v>1000</v>
      </c>
      <c r="F15" s="33" t="s">
        <v>11</v>
      </c>
      <c r="G15" s="34">
        <v>1.1796279306999999</v>
      </c>
      <c r="H15" s="35" t="s">
        <v>12</v>
      </c>
      <c r="I15" s="36">
        <f t="shared" si="5"/>
        <v>437412.53999234189</v>
      </c>
      <c r="J15" s="128">
        <v>339703879</v>
      </c>
      <c r="K15" s="38" t="s">
        <v>10</v>
      </c>
      <c r="L15" s="39">
        <v>1000</v>
      </c>
      <c r="M15" s="39" t="s">
        <v>11</v>
      </c>
      <c r="N15" s="40">
        <v>1.2487512984</v>
      </c>
      <c r="O15" s="38" t="s">
        <v>12</v>
      </c>
      <c r="P15" s="41">
        <f t="shared" si="6"/>
        <v>424205.65997276653</v>
      </c>
      <c r="Q15" s="42">
        <f t="shared" si="7"/>
        <v>31101634</v>
      </c>
      <c r="R15" s="43">
        <f t="shared" si="8"/>
        <v>-6.9123367700000049E-2</v>
      </c>
      <c r="S15" s="42">
        <f t="shared" si="9"/>
        <v>13206.880019575357</v>
      </c>
      <c r="W15" s="130"/>
    </row>
    <row r="16" spans="1:23" x14ac:dyDescent="0.25">
      <c r="A16" s="45" t="s">
        <v>26</v>
      </c>
      <c r="B16" s="45" t="s">
        <v>9</v>
      </c>
      <c r="C16" s="46">
        <v>1216398789</v>
      </c>
      <c r="D16" s="47" t="s">
        <v>10</v>
      </c>
      <c r="E16" s="48">
        <v>1000</v>
      </c>
      <c r="F16" s="49" t="s">
        <v>11</v>
      </c>
      <c r="G16" s="50">
        <v>0.93698080780000004</v>
      </c>
      <c r="H16" s="51" t="s">
        <v>12</v>
      </c>
      <c r="I16" s="52">
        <f t="shared" si="5"/>
        <v>1139742.319924162</v>
      </c>
      <c r="J16" s="129">
        <v>1062451903</v>
      </c>
      <c r="K16" s="54" t="s">
        <v>10</v>
      </c>
      <c r="L16" s="55">
        <v>1000</v>
      </c>
      <c r="M16" s="55" t="s">
        <v>11</v>
      </c>
      <c r="N16" s="56">
        <v>0.99052379410000002</v>
      </c>
      <c r="O16" s="54" t="s">
        <v>12</v>
      </c>
      <c r="P16" s="57">
        <f t="shared" si="6"/>
        <v>1052383.8900083252</v>
      </c>
      <c r="Q16" s="58">
        <f t="shared" si="7"/>
        <v>153946886</v>
      </c>
      <c r="R16" s="59">
        <f t="shared" si="8"/>
        <v>-5.3542986299999984E-2</v>
      </c>
      <c r="S16" s="58">
        <f t="shared" si="9"/>
        <v>87358.429915836779</v>
      </c>
    </row>
    <row r="17" spans="1:22" x14ac:dyDescent="0.25">
      <c r="A17" s="118" t="s">
        <v>27</v>
      </c>
      <c r="B17" s="29" t="s">
        <v>9</v>
      </c>
      <c r="C17" s="30">
        <v>20979612099</v>
      </c>
      <c r="D17" s="31" t="s">
        <v>10</v>
      </c>
      <c r="E17" s="32">
        <v>1000</v>
      </c>
      <c r="F17" s="33" t="s">
        <v>11</v>
      </c>
      <c r="G17" s="34">
        <v>2.3246609012000001</v>
      </c>
      <c r="H17" s="35" t="s">
        <v>12</v>
      </c>
      <c r="I17" s="36">
        <f t="shared" si="5"/>
        <v>48770483.968887769</v>
      </c>
      <c r="J17" s="128">
        <v>18642704534</v>
      </c>
      <c r="K17" s="38" t="s">
        <v>10</v>
      </c>
      <c r="L17" s="39">
        <v>1000</v>
      </c>
      <c r="M17" s="39" t="s">
        <v>11</v>
      </c>
      <c r="N17" s="40">
        <v>2.4677220146000001</v>
      </c>
      <c r="O17" s="38" t="s">
        <v>12</v>
      </c>
      <c r="P17" s="41">
        <f t="shared" si="6"/>
        <v>46005012.390235037</v>
      </c>
      <c r="Q17" s="42">
        <f t="shared" si="7"/>
        <v>2336907565</v>
      </c>
      <c r="R17" s="43">
        <f t="shared" si="8"/>
        <v>-0.14306111339999994</v>
      </c>
      <c r="S17" s="42">
        <f t="shared" si="9"/>
        <v>2765471.5786527321</v>
      </c>
    </row>
    <row r="18" spans="1:22" x14ac:dyDescent="0.25">
      <c r="A18" s="118" t="s">
        <v>108</v>
      </c>
      <c r="B18" s="118" t="s">
        <v>9</v>
      </c>
      <c r="C18" s="46">
        <v>20979612099</v>
      </c>
      <c r="D18" s="47"/>
      <c r="E18" s="48">
        <v>1000</v>
      </c>
      <c r="F18" s="49" t="s">
        <v>11</v>
      </c>
      <c r="G18" s="50">
        <v>0.28625981560000002</v>
      </c>
      <c r="H18" s="51" t="s">
        <v>12</v>
      </c>
      <c r="I18" s="52">
        <f t="shared" si="5"/>
        <v>6005619.8908192692</v>
      </c>
      <c r="J18" s="129">
        <v>18642704534</v>
      </c>
      <c r="K18" s="54" t="s">
        <v>10</v>
      </c>
      <c r="L18" s="55">
        <v>1000</v>
      </c>
      <c r="M18" s="55" t="s">
        <v>11</v>
      </c>
      <c r="N18" s="56">
        <v>0.32184171499999997</v>
      </c>
      <c r="O18" s="54" t="s">
        <v>12</v>
      </c>
      <c r="P18" s="57">
        <f>(J18/L18)*N18</f>
        <v>5999999.9994608359</v>
      </c>
      <c r="Q18" s="58">
        <f t="shared" si="7"/>
        <v>2336907565</v>
      </c>
      <c r="R18" s="59">
        <f t="shared" si="8"/>
        <v>-3.558189939999995E-2</v>
      </c>
      <c r="S18" s="58">
        <f t="shared" si="9"/>
        <v>5619.8913584332913</v>
      </c>
    </row>
    <row r="19" spans="1:22" x14ac:dyDescent="0.25">
      <c r="A19" s="45" t="s">
        <v>28</v>
      </c>
      <c r="B19" s="45" t="s">
        <v>9</v>
      </c>
      <c r="C19" s="30">
        <v>1912847409</v>
      </c>
      <c r="D19" s="31" t="s">
        <v>10</v>
      </c>
      <c r="E19" s="32">
        <v>1000</v>
      </c>
      <c r="F19" s="33" t="s">
        <v>11</v>
      </c>
      <c r="G19" s="34">
        <v>2.3136108552999999</v>
      </c>
      <c r="H19" s="35" t="s">
        <v>12</v>
      </c>
      <c r="I19" s="36">
        <f>C19/E19*G19</f>
        <v>4425584.5299948789</v>
      </c>
      <c r="J19" s="128">
        <v>1734745532</v>
      </c>
      <c r="K19" s="38" t="s">
        <v>10</v>
      </c>
      <c r="L19" s="39">
        <v>1000</v>
      </c>
      <c r="M19" s="39" t="s">
        <v>11</v>
      </c>
      <c r="N19" s="40">
        <v>2.4745240213999997</v>
      </c>
      <c r="O19" s="38" t="s">
        <v>12</v>
      </c>
      <c r="P19" s="41">
        <f t="shared" si="6"/>
        <v>4292669.4899503216</v>
      </c>
      <c r="Q19" s="42">
        <f>C19-J19</f>
        <v>178101877</v>
      </c>
      <c r="R19" s="43">
        <f t="shared" si="8"/>
        <v>-0.16091316609999984</v>
      </c>
      <c r="S19" s="42">
        <f t="shared" si="9"/>
        <v>132915.0400445573</v>
      </c>
    </row>
    <row r="20" spans="1:22" x14ac:dyDescent="0.25">
      <c r="A20" s="29" t="s">
        <v>29</v>
      </c>
      <c r="B20" s="29" t="s">
        <v>9</v>
      </c>
      <c r="C20" s="46">
        <v>1912847409</v>
      </c>
      <c r="D20" s="47" t="s">
        <v>10</v>
      </c>
      <c r="E20" s="48">
        <v>1000</v>
      </c>
      <c r="F20" s="49" t="s">
        <v>11</v>
      </c>
      <c r="G20" s="50">
        <v>0.5</v>
      </c>
      <c r="H20" s="51" t="s">
        <v>12</v>
      </c>
      <c r="I20" s="52">
        <f>C20/E20*G20</f>
        <v>956423.70449999999</v>
      </c>
      <c r="J20" s="127">
        <v>0</v>
      </c>
      <c r="K20" s="54" t="s">
        <v>10</v>
      </c>
      <c r="L20" s="55">
        <v>1000</v>
      </c>
      <c r="M20" s="55" t="s">
        <v>11</v>
      </c>
      <c r="N20" s="127">
        <v>0</v>
      </c>
      <c r="O20" s="54" t="s">
        <v>12</v>
      </c>
      <c r="P20" s="57">
        <f t="shared" si="6"/>
        <v>0</v>
      </c>
      <c r="Q20" s="58">
        <f t="shared" ref="Q20" si="10">C20-J20</f>
        <v>1912847409</v>
      </c>
      <c r="R20" s="59">
        <f>G20-N20</f>
        <v>0.5</v>
      </c>
      <c r="S20" s="58">
        <f>I20-P20</f>
        <v>956423.70449999999</v>
      </c>
    </row>
    <row r="21" spans="1:22" x14ac:dyDescent="0.25">
      <c r="A21" s="45" t="s">
        <v>30</v>
      </c>
      <c r="B21" s="45" t="s">
        <v>19</v>
      </c>
      <c r="C21" s="30">
        <v>1894873720</v>
      </c>
      <c r="D21" s="31" t="s">
        <v>10</v>
      </c>
      <c r="E21" s="32">
        <v>1000</v>
      </c>
      <c r="F21" s="33" t="s">
        <v>11</v>
      </c>
      <c r="G21" s="34">
        <v>4.2219172300000003E-2</v>
      </c>
      <c r="H21" s="35" t="s">
        <v>12</v>
      </c>
      <c r="I21" s="36">
        <f t="shared" si="5"/>
        <v>80000.000071421964</v>
      </c>
      <c r="J21" s="128">
        <v>1718167449</v>
      </c>
      <c r="K21" s="38" t="s">
        <v>10</v>
      </c>
      <c r="L21" s="39">
        <v>1000</v>
      </c>
      <c r="M21" s="39" t="s">
        <v>11</v>
      </c>
      <c r="N21" s="40">
        <v>4.0741081499999998E-2</v>
      </c>
      <c r="O21" s="38" t="s">
        <v>12</v>
      </c>
      <c r="P21" s="41">
        <f t="shared" si="6"/>
        <v>70000.000070356095</v>
      </c>
      <c r="Q21" s="42">
        <f t="shared" si="7"/>
        <v>176706271</v>
      </c>
      <c r="R21" s="43">
        <f t="shared" si="8"/>
        <v>1.4780908000000051E-3</v>
      </c>
      <c r="S21" s="42">
        <f t="shared" si="9"/>
        <v>10000.00000106587</v>
      </c>
    </row>
    <row r="22" spans="1:22" x14ac:dyDescent="0.25">
      <c r="A22" s="29" t="s">
        <v>31</v>
      </c>
      <c r="B22" s="29" t="s">
        <v>9</v>
      </c>
      <c r="C22" s="46">
        <v>8464018</v>
      </c>
      <c r="D22" s="47" t="s">
        <v>10</v>
      </c>
      <c r="E22" s="48">
        <v>1000</v>
      </c>
      <c r="F22" s="49" t="s">
        <v>11</v>
      </c>
      <c r="G22" s="50">
        <v>1.93041</v>
      </c>
      <c r="H22" s="51" t="s">
        <v>12</v>
      </c>
      <c r="I22" s="52">
        <f t="shared" si="5"/>
        <v>16339.02498738</v>
      </c>
      <c r="J22" s="129">
        <v>7996439</v>
      </c>
      <c r="K22" s="54" t="s">
        <v>10</v>
      </c>
      <c r="L22" s="55">
        <v>1000</v>
      </c>
      <c r="M22" s="55" t="s">
        <v>11</v>
      </c>
      <c r="N22" s="56">
        <v>2.0626426634000001</v>
      </c>
      <c r="O22" s="54" t="s">
        <v>12</v>
      </c>
      <c r="P22" s="57">
        <f t="shared" si="6"/>
        <v>16493.796236675633</v>
      </c>
      <c r="Q22" s="58">
        <f t="shared" si="7"/>
        <v>467579</v>
      </c>
      <c r="R22" s="59">
        <f t="shared" si="8"/>
        <v>-0.13223266340000017</v>
      </c>
      <c r="S22" s="58">
        <f t="shared" si="9"/>
        <v>-154.77124929563251</v>
      </c>
    </row>
    <row r="23" spans="1:22" x14ac:dyDescent="0.25">
      <c r="A23" s="45" t="s">
        <v>85</v>
      </c>
      <c r="B23" s="45" t="s">
        <v>9</v>
      </c>
      <c r="C23" s="30">
        <v>108930844</v>
      </c>
      <c r="D23" s="31" t="s">
        <v>10</v>
      </c>
      <c r="E23" s="32">
        <v>1000</v>
      </c>
      <c r="F23" s="33" t="s">
        <v>11</v>
      </c>
      <c r="G23" s="34">
        <v>1.8424900848000001</v>
      </c>
      <c r="H23" s="35" t="s">
        <v>12</v>
      </c>
      <c r="I23" s="36">
        <f t="shared" si="5"/>
        <v>200703.99999889557</v>
      </c>
      <c r="J23" s="128">
        <v>95561450</v>
      </c>
      <c r="K23" s="38" t="s">
        <v>10</v>
      </c>
      <c r="L23" s="39">
        <v>1000</v>
      </c>
      <c r="M23" s="39" t="s">
        <v>11</v>
      </c>
      <c r="N23" s="40">
        <v>2.0319280421000001</v>
      </c>
      <c r="O23" s="38" t="s">
        <v>12</v>
      </c>
      <c r="P23" s="41">
        <f t="shared" si="6"/>
        <v>194173.98999873706</v>
      </c>
      <c r="Q23" s="42">
        <f t="shared" si="7"/>
        <v>13369394</v>
      </c>
      <c r="R23" s="43">
        <f t="shared" si="8"/>
        <v>-0.18943795730000001</v>
      </c>
      <c r="S23" s="42">
        <f t="shared" si="9"/>
        <v>6530.0100001585088</v>
      </c>
    </row>
    <row r="24" spans="1:22" x14ac:dyDescent="0.25">
      <c r="A24" s="118" t="s">
        <v>86</v>
      </c>
      <c r="B24" s="29" t="s">
        <v>9</v>
      </c>
      <c r="C24" s="46">
        <v>108930844</v>
      </c>
      <c r="D24" s="47" t="s">
        <v>10</v>
      </c>
      <c r="E24" s="48">
        <v>1000</v>
      </c>
      <c r="F24" s="49" t="s">
        <v>11</v>
      </c>
      <c r="G24" s="50">
        <v>0.40844134100000001</v>
      </c>
      <c r="H24" s="51" t="s">
        <v>12</v>
      </c>
      <c r="I24" s="52">
        <f t="shared" si="5"/>
        <v>44491.859999621804</v>
      </c>
      <c r="J24" s="129">
        <v>95561450</v>
      </c>
      <c r="K24" s="54" t="s">
        <v>10</v>
      </c>
      <c r="L24" s="55">
        <v>1000</v>
      </c>
      <c r="M24" s="55" t="s">
        <v>11</v>
      </c>
      <c r="N24" s="56">
        <v>0.44622470669999997</v>
      </c>
      <c r="O24" s="54" t="s">
        <v>12</v>
      </c>
      <c r="P24" s="57">
        <f t="shared" si="6"/>
        <v>42641.879998076714</v>
      </c>
      <c r="Q24" s="58">
        <f t="shared" si="7"/>
        <v>13369394</v>
      </c>
      <c r="R24" s="59">
        <f t="shared" si="8"/>
        <v>-3.778336569999996E-2</v>
      </c>
      <c r="S24" s="58">
        <f t="shared" si="9"/>
        <v>1849.9800015450892</v>
      </c>
    </row>
    <row r="25" spans="1:22" ht="15.75" thickBot="1" x14ac:dyDescent="0.3">
      <c r="A25" s="140" t="s">
        <v>110</v>
      </c>
      <c r="B25" s="29" t="s">
        <v>19</v>
      </c>
      <c r="C25" s="30">
        <v>107701671</v>
      </c>
      <c r="D25" s="31"/>
      <c r="E25" s="32">
        <v>1000</v>
      </c>
      <c r="F25" s="33" t="s">
        <v>11</v>
      </c>
      <c r="G25" s="34">
        <v>1.2421905691999999</v>
      </c>
      <c r="H25" s="35" t="s">
        <v>12</v>
      </c>
      <c r="I25" s="36">
        <f t="shared" si="5"/>
        <v>133786.00000328114</v>
      </c>
      <c r="J25" s="128">
        <v>0</v>
      </c>
      <c r="K25" s="38" t="s">
        <v>10</v>
      </c>
      <c r="L25" s="39">
        <v>1000</v>
      </c>
      <c r="M25" s="39" t="s">
        <v>11</v>
      </c>
      <c r="N25" s="41">
        <v>0</v>
      </c>
      <c r="O25" s="38" t="s">
        <v>12</v>
      </c>
      <c r="P25" s="41">
        <f t="shared" ref="P25" si="11">(J25/L25)*N25</f>
        <v>0</v>
      </c>
      <c r="Q25" s="42">
        <f>C25-J25</f>
        <v>107701671</v>
      </c>
      <c r="R25" s="43">
        <f t="shared" ref="R25" si="12">G25-N25</f>
        <v>1.2421905691999999</v>
      </c>
      <c r="S25" s="42">
        <f t="shared" ref="S25" si="13">I25-P25</f>
        <v>133786.00000328114</v>
      </c>
    </row>
    <row r="26" spans="1:22" ht="15.75" thickBot="1" x14ac:dyDescent="0.3">
      <c r="A26" s="78" t="s">
        <v>32</v>
      </c>
      <c r="B26" s="79"/>
      <c r="C26" s="80"/>
      <c r="D26" s="81"/>
      <c r="E26" s="82"/>
      <c r="F26" s="83"/>
      <c r="G26" s="84"/>
      <c r="H26" s="85"/>
      <c r="I26" s="85"/>
      <c r="J26" s="80"/>
      <c r="K26" s="80"/>
      <c r="L26" s="80"/>
      <c r="M26" s="80"/>
      <c r="N26" s="80"/>
      <c r="O26" s="80"/>
      <c r="P26" s="80"/>
      <c r="Q26" s="86"/>
      <c r="R26" s="86"/>
      <c r="S26" s="86"/>
    </row>
    <row r="27" spans="1:22" x14ac:dyDescent="0.25">
      <c r="A27" s="89" t="s">
        <v>33</v>
      </c>
      <c r="B27" s="89" t="s">
        <v>19</v>
      </c>
      <c r="C27" s="30">
        <f>17930751710+19456</f>
        <v>17930771166</v>
      </c>
      <c r="D27" s="31" t="s">
        <v>10</v>
      </c>
      <c r="E27" s="32">
        <v>1000</v>
      </c>
      <c r="F27" s="33" t="s">
        <v>11</v>
      </c>
      <c r="G27" s="34">
        <f>2.6379233532</f>
        <v>2.6379233532000002</v>
      </c>
      <c r="H27" s="35" t="s">
        <v>12</v>
      </c>
      <c r="I27" s="36">
        <f>C27/E27*G27+153083.97</f>
        <v>47453083.969676599</v>
      </c>
      <c r="J27" s="128">
        <f>16484621887+19456</f>
        <v>16484641343</v>
      </c>
      <c r="K27" s="38" t="s">
        <v>10</v>
      </c>
      <c r="L27" s="39">
        <v>1000</v>
      </c>
      <c r="M27" s="39" t="s">
        <v>11</v>
      </c>
      <c r="N27" s="40">
        <v>2.8026087458000002</v>
      </c>
      <c r="O27" s="38" t="s">
        <v>12</v>
      </c>
      <c r="P27" s="41">
        <f>(J27/L27)*N27+260750.12</f>
        <v>46460750.11926806</v>
      </c>
      <c r="Q27" s="42">
        <f>C27-J27</f>
        <v>1446129823</v>
      </c>
      <c r="R27" s="43">
        <f t="shared" ref="R27:R50" si="14">G27-N27</f>
        <v>-0.16468539260000004</v>
      </c>
      <c r="S27" s="42">
        <f>I27-P27</f>
        <v>992333.85040853918</v>
      </c>
      <c r="V27" s="130"/>
    </row>
    <row r="28" spans="1:22" x14ac:dyDescent="0.25">
      <c r="A28" s="12" t="s">
        <v>34</v>
      </c>
      <c r="B28" s="45" t="s">
        <v>19</v>
      </c>
      <c r="C28" s="46">
        <v>17930751710</v>
      </c>
      <c r="D28" s="47" t="s">
        <v>10</v>
      </c>
      <c r="E28" s="48">
        <v>1000</v>
      </c>
      <c r="F28" s="49" t="s">
        <v>11</v>
      </c>
      <c r="G28" s="50">
        <v>1.5211297575</v>
      </c>
      <c r="H28" s="51" t="s">
        <v>12</v>
      </c>
      <c r="I28" s="52">
        <f t="shared" ref="I28:I50" si="15">C28/E28*G28</f>
        <v>27275000.000425011</v>
      </c>
      <c r="J28" s="129">
        <v>16484621887</v>
      </c>
      <c r="K28" s="54" t="s">
        <v>10</v>
      </c>
      <c r="L28" s="55">
        <v>1000</v>
      </c>
      <c r="M28" s="55" t="s">
        <v>11</v>
      </c>
      <c r="N28" s="56">
        <v>1.4316373260999999</v>
      </c>
      <c r="O28" s="54" t="s">
        <v>12</v>
      </c>
      <c r="P28" s="57">
        <f t="shared" si="6"/>
        <v>23600000.000074215</v>
      </c>
      <c r="Q28" s="58">
        <f t="shared" ref="Q28:Q50" si="16">C28-J28</f>
        <v>1446129823</v>
      </c>
      <c r="R28" s="59">
        <f t="shared" si="14"/>
        <v>8.9492431400000072E-2</v>
      </c>
      <c r="S28" s="58">
        <f t="shared" ref="S28:S50" si="17">I28-P28</f>
        <v>3675000.0003507957</v>
      </c>
      <c r="U28" s="130"/>
    </row>
    <row r="29" spans="1:22" x14ac:dyDescent="0.25">
      <c r="A29" s="12" t="s">
        <v>35</v>
      </c>
      <c r="B29" s="45" t="s">
        <v>19</v>
      </c>
      <c r="C29" s="30">
        <v>17930751710</v>
      </c>
      <c r="D29" s="31" t="s">
        <v>10</v>
      </c>
      <c r="E29" s="32">
        <v>1000</v>
      </c>
      <c r="F29" s="33" t="s">
        <v>11</v>
      </c>
      <c r="G29" s="34">
        <v>0.2230804411</v>
      </c>
      <c r="H29" s="35" t="s">
        <v>12</v>
      </c>
      <c r="I29" s="36">
        <f t="shared" si="15"/>
        <v>4000000.0007213796</v>
      </c>
      <c r="J29" s="128">
        <v>16484621887</v>
      </c>
      <c r="K29" s="38" t="s">
        <v>10</v>
      </c>
      <c r="L29" s="39">
        <v>1000</v>
      </c>
      <c r="M29" s="39" t="s">
        <v>11</v>
      </c>
      <c r="N29" s="40">
        <v>0.24265039429999999</v>
      </c>
      <c r="O29" s="38" t="s">
        <v>12</v>
      </c>
      <c r="P29" s="41">
        <f t="shared" si="6"/>
        <v>4000000.00076696</v>
      </c>
      <c r="Q29" s="42">
        <f t="shared" si="16"/>
        <v>1446129823</v>
      </c>
      <c r="R29" s="43">
        <f t="shared" si="14"/>
        <v>-1.956995319999999E-2</v>
      </c>
      <c r="S29" s="42">
        <f t="shared" si="17"/>
        <v>-4.5580323785543442E-5</v>
      </c>
      <c r="V29" s="130"/>
    </row>
    <row r="30" spans="1:22" x14ac:dyDescent="0.25">
      <c r="A30" s="29" t="s">
        <v>36</v>
      </c>
      <c r="B30" s="29" t="s">
        <v>19</v>
      </c>
      <c r="C30" s="46">
        <f>2805419+49305</f>
        <v>2854724</v>
      </c>
      <c r="D30" s="47" t="s">
        <v>10</v>
      </c>
      <c r="E30" s="48">
        <v>1000</v>
      </c>
      <c r="F30" s="49" t="s">
        <v>11</v>
      </c>
      <c r="G30" s="50">
        <v>3.1356989</v>
      </c>
      <c r="H30" s="51" t="s">
        <v>12</v>
      </c>
      <c r="I30" s="52">
        <f t="shared" si="15"/>
        <v>8951.5549066036001</v>
      </c>
      <c r="J30" s="129">
        <f>2989647+75028</f>
        <v>3064675</v>
      </c>
      <c r="K30" s="54" t="s">
        <v>10</v>
      </c>
      <c r="L30" s="55">
        <v>1000</v>
      </c>
      <c r="M30" s="55" t="s">
        <v>11</v>
      </c>
      <c r="N30" s="56">
        <v>3.2895540300000001</v>
      </c>
      <c r="O30" s="54" t="s">
        <v>12</v>
      </c>
      <c r="P30" s="57">
        <f t="shared" si="6"/>
        <v>10081.413996890251</v>
      </c>
      <c r="Q30" s="58">
        <f t="shared" si="16"/>
        <v>-209951</v>
      </c>
      <c r="R30" s="59">
        <f t="shared" si="14"/>
        <v>-0.15385513000000017</v>
      </c>
      <c r="S30" s="58">
        <f>I30-P30</f>
        <v>-1129.8590902866508</v>
      </c>
    </row>
    <row r="31" spans="1:22" x14ac:dyDescent="0.25">
      <c r="A31" s="45" t="s">
        <v>37</v>
      </c>
      <c r="B31" s="45" t="s">
        <v>19</v>
      </c>
      <c r="C31" s="30">
        <f>1377753770+7393996</f>
        <v>1385147766</v>
      </c>
      <c r="D31" s="132" t="s">
        <v>10</v>
      </c>
      <c r="E31" s="32">
        <v>1000</v>
      </c>
      <c r="F31" s="33" t="s">
        <v>11</v>
      </c>
      <c r="G31" s="34">
        <f>3.416678795</f>
        <v>3.4166787950000002</v>
      </c>
      <c r="H31" s="35" t="s">
        <v>12</v>
      </c>
      <c r="I31" s="36">
        <f>C31/E31*G31+22601.27</f>
        <v>4755206.2700338224</v>
      </c>
      <c r="J31" s="128">
        <f>1237545952+11230604</f>
        <v>1248776556</v>
      </c>
      <c r="K31" s="38" t="s">
        <v>10</v>
      </c>
      <c r="L31" s="39">
        <v>1000</v>
      </c>
      <c r="M31" s="39" t="s">
        <v>11</v>
      </c>
      <c r="N31" s="40">
        <v>3.1980268854</v>
      </c>
      <c r="O31" s="38" t="s">
        <v>12</v>
      </c>
      <c r="P31" s="41">
        <f>(J31/L31)*N31+7131.03</f>
        <v>4000752.0299452189</v>
      </c>
      <c r="Q31" s="42">
        <f t="shared" si="16"/>
        <v>136371210</v>
      </c>
      <c r="R31" s="43">
        <f t="shared" si="14"/>
        <v>0.21865190960000014</v>
      </c>
      <c r="S31" s="42">
        <f t="shared" si="17"/>
        <v>754454.24008860346</v>
      </c>
    </row>
    <row r="32" spans="1:22" x14ac:dyDescent="0.25">
      <c r="A32" s="45" t="s">
        <v>38</v>
      </c>
      <c r="B32" s="45" t="s">
        <v>19</v>
      </c>
      <c r="C32" s="46">
        <f>1377753770+14787993</f>
        <v>1392541763</v>
      </c>
      <c r="D32" s="47" t="s">
        <v>10</v>
      </c>
      <c r="E32" s="48">
        <v>1000</v>
      </c>
      <c r="F32" s="49" t="s">
        <v>11</v>
      </c>
      <c r="G32" s="50">
        <v>2.1973847258000001</v>
      </c>
      <c r="H32" s="51" t="s">
        <v>12</v>
      </c>
      <c r="I32" s="52">
        <v>3059950.0000548037</v>
      </c>
      <c r="J32" s="129">
        <v>22461208</v>
      </c>
      <c r="K32" s="54" t="s">
        <v>10</v>
      </c>
      <c r="L32" s="55">
        <v>1000</v>
      </c>
      <c r="M32" s="55" t="s">
        <v>11</v>
      </c>
      <c r="N32" s="56">
        <v>2.3595500837999999</v>
      </c>
      <c r="O32" s="54" t="s">
        <v>12</v>
      </c>
      <c r="P32" s="57">
        <f t="shared" si="6"/>
        <v>52998.345218649221</v>
      </c>
      <c r="Q32" s="58">
        <f t="shared" si="16"/>
        <v>1370080555</v>
      </c>
      <c r="R32" s="59">
        <f t="shared" si="14"/>
        <v>-0.16216535799999976</v>
      </c>
      <c r="S32" s="58">
        <f t="shared" si="17"/>
        <v>3006951.6548361545</v>
      </c>
    </row>
    <row r="33" spans="1:22" x14ac:dyDescent="0.25">
      <c r="A33" s="29" t="s">
        <v>40</v>
      </c>
      <c r="B33" s="29" t="s">
        <v>19</v>
      </c>
      <c r="C33" s="46">
        <f>1092564198+1418610</f>
        <v>1093982808</v>
      </c>
      <c r="D33" s="47" t="s">
        <v>10</v>
      </c>
      <c r="E33" s="48">
        <v>1000</v>
      </c>
      <c r="F33" s="49" t="s">
        <v>11</v>
      </c>
      <c r="G33" s="50">
        <f>2.57186857</f>
        <v>2.5718685699999999</v>
      </c>
      <c r="H33" s="51" t="s">
        <v>12</v>
      </c>
      <c r="I33" s="52">
        <f>C33/E33*G33+5751.05</f>
        <v>2819331.0500155441</v>
      </c>
      <c r="J33" s="129">
        <f>996505761+1998906</f>
        <v>998504667</v>
      </c>
      <c r="K33" s="54" t="s">
        <v>10</v>
      </c>
      <c r="L33" s="55">
        <v>1000</v>
      </c>
      <c r="M33" s="55" t="s">
        <v>11</v>
      </c>
      <c r="N33" s="56">
        <v>2.6836128949</v>
      </c>
      <c r="O33" s="54" t="s">
        <v>12</v>
      </c>
      <c r="P33" s="57">
        <f>(J33/L33)*N33+6567.46</f>
        <v>2686167.4599790303</v>
      </c>
      <c r="Q33" s="58">
        <f t="shared" si="16"/>
        <v>95478141</v>
      </c>
      <c r="R33" s="59">
        <f t="shared" si="14"/>
        <v>-0.11174432490000008</v>
      </c>
      <c r="S33" s="58">
        <f t="shared" si="17"/>
        <v>133163.59003651375</v>
      </c>
    </row>
    <row r="34" spans="1:22" x14ac:dyDescent="0.25">
      <c r="A34" s="29" t="s">
        <v>41</v>
      </c>
      <c r="B34" s="29" t="s">
        <v>19</v>
      </c>
      <c r="C34" s="30">
        <f>1092564198+2837220</f>
        <v>1095401418</v>
      </c>
      <c r="D34" s="31" t="s">
        <v>10</v>
      </c>
      <c r="E34" s="32">
        <v>1000</v>
      </c>
      <c r="F34" s="33" t="s">
        <v>11</v>
      </c>
      <c r="G34" s="34">
        <f>1.2842689236</f>
        <v>1.2842689236</v>
      </c>
      <c r="H34" s="35" t="s">
        <v>12</v>
      </c>
      <c r="I34" s="36">
        <f t="shared" si="15"/>
        <v>1406790.0000047737</v>
      </c>
      <c r="J34" s="128">
        <f>996505761+3997812</f>
        <v>1000503573</v>
      </c>
      <c r="K34" s="38" t="s">
        <v>10</v>
      </c>
      <c r="L34" s="39">
        <v>1000</v>
      </c>
      <c r="M34" s="39" t="s">
        <v>11</v>
      </c>
      <c r="N34" s="40">
        <v>1.3543180020000001</v>
      </c>
      <c r="O34" s="38" t="s">
        <v>12</v>
      </c>
      <c r="P34" s="41">
        <f>(J34/L34)*N34</f>
        <v>1354999.9999792213</v>
      </c>
      <c r="Q34" s="42">
        <f t="shared" si="16"/>
        <v>94897845</v>
      </c>
      <c r="R34" s="43">
        <f t="shared" si="14"/>
        <v>-7.0049078400000075E-2</v>
      </c>
      <c r="S34" s="42">
        <f t="shared" si="17"/>
        <v>51790.000025552465</v>
      </c>
    </row>
    <row r="35" spans="1:22" x14ac:dyDescent="0.25">
      <c r="A35" s="45" t="s">
        <v>42</v>
      </c>
      <c r="B35" s="45" t="s">
        <v>19</v>
      </c>
      <c r="C35" s="46">
        <f>198356617+241442</f>
        <v>198598059</v>
      </c>
      <c r="D35" s="47" t="s">
        <v>10</v>
      </c>
      <c r="E35" s="48">
        <v>1000</v>
      </c>
      <c r="F35" s="49" t="s">
        <v>11</v>
      </c>
      <c r="G35" s="50">
        <v>2.545188</v>
      </c>
      <c r="H35" s="51" t="s">
        <v>12</v>
      </c>
      <c r="I35" s="52">
        <f t="shared" si="15"/>
        <v>505469.39659009204</v>
      </c>
      <c r="J35" s="129">
        <v>181299111</v>
      </c>
      <c r="K35" s="54" t="s">
        <v>10</v>
      </c>
      <c r="L35" s="55">
        <v>1000</v>
      </c>
      <c r="M35" s="55" t="s">
        <v>11</v>
      </c>
      <c r="N35" s="56">
        <v>2.505925</v>
      </c>
      <c r="O35" s="54" t="s">
        <v>12</v>
      </c>
      <c r="P35" s="57">
        <f t="shared" si="6"/>
        <v>454321.97473267501</v>
      </c>
      <c r="Q35" s="58">
        <f t="shared" si="16"/>
        <v>17298948</v>
      </c>
      <c r="R35" s="59">
        <f t="shared" si="14"/>
        <v>3.9263000000000048E-2</v>
      </c>
      <c r="S35" s="58">
        <f t="shared" si="17"/>
        <v>51147.421857417037</v>
      </c>
    </row>
    <row r="36" spans="1:22" x14ac:dyDescent="0.25">
      <c r="A36" s="45" t="s">
        <v>43</v>
      </c>
      <c r="B36" s="45" t="s">
        <v>19</v>
      </c>
      <c r="C36" s="30">
        <f>198356617+482884</f>
        <v>198839501</v>
      </c>
      <c r="D36" s="31" t="s">
        <v>10</v>
      </c>
      <c r="E36" s="32">
        <v>1000</v>
      </c>
      <c r="F36" s="33" t="s">
        <v>11</v>
      </c>
      <c r="G36" s="34">
        <v>1.7409239999999999</v>
      </c>
      <c r="H36" s="35" t="s">
        <v>12</v>
      </c>
      <c r="I36" s="36">
        <f t="shared" si="15"/>
        <v>346164.45943892398</v>
      </c>
      <c r="J36" s="128">
        <v>181299111</v>
      </c>
      <c r="K36" s="38" t="s">
        <v>10</v>
      </c>
      <c r="L36" s="39">
        <v>1000</v>
      </c>
      <c r="M36" s="39" t="s">
        <v>11</v>
      </c>
      <c r="N36" s="40">
        <v>1.9079809999999999</v>
      </c>
      <c r="O36" s="38" t="s">
        <v>12</v>
      </c>
      <c r="P36" s="41">
        <f t="shared" si="6"/>
        <v>345915.25910489098</v>
      </c>
      <c r="Q36" s="42">
        <f t="shared" si="16"/>
        <v>17540390</v>
      </c>
      <c r="R36" s="43">
        <f t="shared" si="14"/>
        <v>-0.16705700000000001</v>
      </c>
      <c r="S36" s="42">
        <f t="shared" si="17"/>
        <v>249.20033403299749</v>
      </c>
    </row>
    <row r="37" spans="1:22" x14ac:dyDescent="0.25">
      <c r="A37" s="29" t="s">
        <v>44</v>
      </c>
      <c r="B37" s="29" t="s">
        <v>19</v>
      </c>
      <c r="C37" s="46">
        <f>169031723+4668510</f>
        <v>173700233</v>
      </c>
      <c r="D37" s="47" t="s">
        <v>10</v>
      </c>
      <c r="E37" s="48">
        <v>1000</v>
      </c>
      <c r="F37" s="49" t="s">
        <v>11</v>
      </c>
      <c r="G37" s="50">
        <v>3.0224484500000002</v>
      </c>
      <c r="H37" s="51" t="s">
        <v>12</v>
      </c>
      <c r="I37" s="52">
        <f>C37/E37*G37+5911.9</f>
        <v>530911.89999548893</v>
      </c>
      <c r="J37" s="129">
        <v>159997601</v>
      </c>
      <c r="K37" s="54" t="s">
        <v>10</v>
      </c>
      <c r="L37" s="55">
        <v>1000</v>
      </c>
      <c r="M37" s="55" t="s">
        <v>11</v>
      </c>
      <c r="N37" s="56">
        <v>3.0029058678</v>
      </c>
      <c r="O37" s="54" t="s">
        <v>12</v>
      </c>
      <c r="P37" s="57">
        <f t="shared" si="6"/>
        <v>480457.73487682315</v>
      </c>
      <c r="Q37" s="58">
        <f t="shared" si="16"/>
        <v>13702632</v>
      </c>
      <c r="R37" s="59">
        <f t="shared" si="14"/>
        <v>1.9542582200000158E-2</v>
      </c>
      <c r="S37" s="58">
        <f t="shared" si="17"/>
        <v>50454.165118665784</v>
      </c>
    </row>
    <row r="38" spans="1:22" x14ac:dyDescent="0.25">
      <c r="A38" s="29" t="s">
        <v>46</v>
      </c>
      <c r="B38" s="29" t="s">
        <v>19</v>
      </c>
      <c r="C38" s="133">
        <v>0</v>
      </c>
      <c r="D38" s="134" t="s">
        <v>10</v>
      </c>
      <c r="E38" s="135">
        <v>1000</v>
      </c>
      <c r="F38" s="136" t="s">
        <v>11</v>
      </c>
      <c r="G38" s="137">
        <v>0</v>
      </c>
      <c r="H38" s="138" t="s">
        <v>12</v>
      </c>
      <c r="I38" s="139">
        <v>0</v>
      </c>
      <c r="J38" s="129">
        <v>159997601</v>
      </c>
      <c r="K38" s="54" t="s">
        <v>10</v>
      </c>
      <c r="L38" s="55">
        <v>1000</v>
      </c>
      <c r="M38" s="55" t="s">
        <v>11</v>
      </c>
      <c r="N38" s="56">
        <v>0.40194686759999998</v>
      </c>
      <c r="O38" s="54" t="s">
        <v>12</v>
      </c>
      <c r="P38" s="57">
        <f t="shared" si="6"/>
        <v>64310.534545464623</v>
      </c>
      <c r="Q38" s="58">
        <f t="shared" si="16"/>
        <v>-159997601</v>
      </c>
      <c r="R38" s="59">
        <f t="shared" si="14"/>
        <v>-0.40194686759999998</v>
      </c>
      <c r="S38" s="58">
        <f t="shared" si="17"/>
        <v>-64310.534545464623</v>
      </c>
    </row>
    <row r="39" spans="1:22" x14ac:dyDescent="0.25">
      <c r="A39" s="45" t="s">
        <v>47</v>
      </c>
      <c r="B39" s="45" t="s">
        <v>19</v>
      </c>
      <c r="C39" s="30">
        <f>2359185403+2009231</f>
        <v>2361194634</v>
      </c>
      <c r="D39" s="31" t="s">
        <v>10</v>
      </c>
      <c r="E39" s="32">
        <v>1000</v>
      </c>
      <c r="F39" s="33" t="s">
        <v>11</v>
      </c>
      <c r="G39" s="34">
        <v>2.7784616250999998</v>
      </c>
      <c r="H39" s="35" t="s">
        <v>12</v>
      </c>
      <c r="I39" s="36">
        <f>C39/E39*G39+16843.06</f>
        <v>6577331.7399610393</v>
      </c>
      <c r="J39" s="128">
        <v>2144707777</v>
      </c>
      <c r="K39" s="38" t="s">
        <v>10</v>
      </c>
      <c r="L39" s="39">
        <v>1000</v>
      </c>
      <c r="M39" s="39" t="s">
        <v>11</v>
      </c>
      <c r="N39" s="40">
        <v>2.7453395045</v>
      </c>
      <c r="O39" s="38" t="s">
        <v>12</v>
      </c>
      <c r="P39" s="41">
        <f t="shared" si="6"/>
        <v>5887950.9858064754</v>
      </c>
      <c r="Q39" s="42">
        <f t="shared" si="16"/>
        <v>216486857</v>
      </c>
      <c r="R39" s="43">
        <f t="shared" si="14"/>
        <v>3.312212059999986E-2</v>
      </c>
      <c r="S39" s="42">
        <f t="shared" si="17"/>
        <v>689380.75415456388</v>
      </c>
      <c r="V39" s="130"/>
    </row>
    <row r="40" spans="1:22" x14ac:dyDescent="0.25">
      <c r="A40" s="45" t="s">
        <v>48</v>
      </c>
      <c r="B40" s="45" t="s">
        <v>19</v>
      </c>
      <c r="C40" s="46">
        <f>2359185403+4018463</f>
        <v>2363203866</v>
      </c>
      <c r="D40" s="47" t="s">
        <v>10</v>
      </c>
      <c r="E40" s="48">
        <v>1000</v>
      </c>
      <c r="F40" s="49" t="s">
        <v>11</v>
      </c>
      <c r="G40" s="50">
        <v>2.0954934193999999</v>
      </c>
      <c r="H40" s="51" t="s">
        <v>12</v>
      </c>
      <c r="I40" s="52">
        <f t="shared" si="15"/>
        <v>4952078.1499036392</v>
      </c>
      <c r="J40" s="129">
        <v>2144707777</v>
      </c>
      <c r="K40" s="54" t="s">
        <v>10</v>
      </c>
      <c r="L40" s="55">
        <v>1000</v>
      </c>
      <c r="M40" s="55" t="s">
        <v>11</v>
      </c>
      <c r="N40" s="56">
        <v>2.1333149629000001</v>
      </c>
      <c r="O40" s="54" t="s">
        <v>12</v>
      </c>
      <c r="P40" s="57">
        <f t="shared" si="6"/>
        <v>4575337.1917220959</v>
      </c>
      <c r="Q40" s="58">
        <f t="shared" si="16"/>
        <v>218496089</v>
      </c>
      <c r="R40" s="59">
        <f t="shared" si="14"/>
        <v>-3.7821543500000221E-2</v>
      </c>
      <c r="S40" s="58">
        <f t="shared" si="17"/>
        <v>376740.95818154328</v>
      </c>
      <c r="V40" s="115"/>
    </row>
    <row r="41" spans="1:22" x14ac:dyDescent="0.25">
      <c r="A41" s="45" t="s">
        <v>49</v>
      </c>
      <c r="B41" s="45" t="s">
        <v>19</v>
      </c>
      <c r="C41" s="30">
        <f>2359185403+4018463</f>
        <v>2363203866</v>
      </c>
      <c r="D41" s="31" t="s">
        <v>10</v>
      </c>
      <c r="E41" s="32">
        <v>1000</v>
      </c>
      <c r="F41" s="33" t="s">
        <v>11</v>
      </c>
      <c r="G41" s="34">
        <v>0.28616870500000002</v>
      </c>
      <c r="H41" s="35" t="s">
        <v>12</v>
      </c>
      <c r="I41" s="36">
        <f t="shared" si="15"/>
        <v>676274.98998421361</v>
      </c>
      <c r="J41" s="128">
        <v>2144707777</v>
      </c>
      <c r="K41" s="38" t="s">
        <v>10</v>
      </c>
      <c r="L41" s="39">
        <v>1000</v>
      </c>
      <c r="M41" s="39" t="s">
        <v>11</v>
      </c>
      <c r="N41" s="40">
        <v>0.2806993384</v>
      </c>
      <c r="O41" s="38" t="s">
        <v>12</v>
      </c>
      <c r="P41" s="41">
        <f t="shared" si="6"/>
        <v>602018.05406523461</v>
      </c>
      <c r="Q41" s="42">
        <f t="shared" si="16"/>
        <v>218496089</v>
      </c>
      <c r="R41" s="43">
        <f t="shared" si="14"/>
        <v>5.4693666000000252E-3</v>
      </c>
      <c r="S41" s="42">
        <f t="shared" si="17"/>
        <v>74256.935918978998</v>
      </c>
    </row>
    <row r="42" spans="1:22" x14ac:dyDescent="0.25">
      <c r="A42" s="29" t="s">
        <v>50</v>
      </c>
      <c r="B42" s="29" t="s">
        <v>19</v>
      </c>
      <c r="C42" s="46">
        <f>16053862198+193738</f>
        <v>16054055936</v>
      </c>
      <c r="D42" s="47" t="s">
        <v>10</v>
      </c>
      <c r="E42" s="48">
        <v>1000</v>
      </c>
      <c r="F42" s="49" t="s">
        <v>11</v>
      </c>
      <c r="G42" s="50">
        <v>3.2092201624999999</v>
      </c>
      <c r="H42" s="51" t="s">
        <v>12</v>
      </c>
      <c r="I42" s="52">
        <f>C42/E42*G42+152105.07</f>
        <v>51673105.06971401</v>
      </c>
      <c r="J42" s="129">
        <v>14801763092</v>
      </c>
      <c r="K42" s="54" t="s">
        <v>10</v>
      </c>
      <c r="L42" s="55">
        <v>1000</v>
      </c>
      <c r="M42" s="55" t="s">
        <v>11</v>
      </c>
      <c r="N42" s="56">
        <v>3.3256190442999998</v>
      </c>
      <c r="O42" s="54" t="s">
        <v>12</v>
      </c>
      <c r="P42" s="57">
        <f t="shared" si="6"/>
        <v>49225025.227972053</v>
      </c>
      <c r="Q42" s="58">
        <f t="shared" si="16"/>
        <v>1252292844</v>
      </c>
      <c r="R42" s="59">
        <f t="shared" si="14"/>
        <v>-0.11639888179999991</v>
      </c>
      <c r="S42" s="58">
        <f t="shared" si="17"/>
        <v>2448079.8417419568</v>
      </c>
    </row>
    <row r="43" spans="1:22" x14ac:dyDescent="0.25">
      <c r="A43" s="29" t="s">
        <v>51</v>
      </c>
      <c r="B43" s="29" t="s">
        <v>19</v>
      </c>
      <c r="C43" s="30">
        <f>16053862198+387477</f>
        <v>16054249675</v>
      </c>
      <c r="D43" s="31" t="s">
        <v>10</v>
      </c>
      <c r="E43" s="32">
        <v>1000</v>
      </c>
      <c r="F43" s="33" t="s">
        <v>11</v>
      </c>
      <c r="G43" s="34">
        <v>1.6195088855999999</v>
      </c>
      <c r="H43" s="35" t="s">
        <v>12</v>
      </c>
      <c r="I43" s="36">
        <f t="shared" si="15"/>
        <v>26000000.000303414</v>
      </c>
      <c r="J43" s="128">
        <v>14801763092</v>
      </c>
      <c r="K43" s="38" t="s">
        <v>10</v>
      </c>
      <c r="L43" s="39">
        <v>1000</v>
      </c>
      <c r="M43" s="39" t="s">
        <v>11</v>
      </c>
      <c r="N43" s="40">
        <v>1.6889205410000001</v>
      </c>
      <c r="O43" s="38" t="s">
        <v>12</v>
      </c>
      <c r="P43" s="41">
        <f t="shared" si="6"/>
        <v>24999001.729094476</v>
      </c>
      <c r="Q43" s="42">
        <f t="shared" si="16"/>
        <v>1252486583</v>
      </c>
      <c r="R43" s="43">
        <f t="shared" si="14"/>
        <v>-6.9411655400000161E-2</v>
      </c>
      <c r="S43" s="42">
        <f t="shared" si="17"/>
        <v>1000998.2712089382</v>
      </c>
    </row>
    <row r="44" spans="1:22" x14ac:dyDescent="0.25">
      <c r="A44" s="45" t="s">
        <v>52</v>
      </c>
      <c r="B44" s="45" t="s">
        <v>19</v>
      </c>
      <c r="C44" s="46">
        <f>5415060752+5618427</f>
        <v>5420679179</v>
      </c>
      <c r="D44" s="47" t="s">
        <v>10</v>
      </c>
      <c r="E44" s="48">
        <v>1000</v>
      </c>
      <c r="F44" s="49" t="s">
        <v>11</v>
      </c>
      <c r="G44" s="50">
        <v>2.9701075213000001</v>
      </c>
      <c r="H44" s="51" t="s">
        <v>12</v>
      </c>
      <c r="I44" s="52">
        <f>C44/E44*G44 +17202.37</f>
        <v>16117202.370102208</v>
      </c>
      <c r="J44" s="129">
        <v>4962756065</v>
      </c>
      <c r="K44" s="54" t="s">
        <v>10</v>
      </c>
      <c r="L44" s="55">
        <v>1000</v>
      </c>
      <c r="M44" s="55" t="s">
        <v>11</v>
      </c>
      <c r="N44" s="56">
        <v>2.5760943277999999</v>
      </c>
      <c r="O44" s="54" t="s">
        <v>12</v>
      </c>
      <c r="P44" s="57">
        <f t="shared" si="6"/>
        <v>12784527.749301549</v>
      </c>
      <c r="Q44" s="58">
        <f t="shared" si="16"/>
        <v>457923114</v>
      </c>
      <c r="R44" s="59">
        <f t="shared" si="14"/>
        <v>0.39401319350000019</v>
      </c>
      <c r="S44" s="58">
        <f t="shared" si="17"/>
        <v>3332674.6208006591</v>
      </c>
    </row>
    <row r="45" spans="1:22" x14ac:dyDescent="0.25">
      <c r="A45" s="45" t="s">
        <v>53</v>
      </c>
      <c r="B45" s="45" t="s">
        <v>19</v>
      </c>
      <c r="C45" s="30">
        <f>5415060752+11236855</f>
        <v>5426297607</v>
      </c>
      <c r="D45" s="31" t="s">
        <v>10</v>
      </c>
      <c r="E45" s="32">
        <v>1000</v>
      </c>
      <c r="F45" s="33" t="s">
        <v>11</v>
      </c>
      <c r="G45" s="34">
        <v>3.4185371579999999</v>
      </c>
      <c r="H45" s="35" t="s">
        <v>12</v>
      </c>
      <c r="I45" s="36">
        <f>C45/E45*G45</f>
        <v>18549999.999895979</v>
      </c>
      <c r="J45" s="128">
        <v>4962756065</v>
      </c>
      <c r="K45" s="38" t="s">
        <v>10</v>
      </c>
      <c r="L45" s="39">
        <v>1000</v>
      </c>
      <c r="M45" s="39" t="s">
        <v>11</v>
      </c>
      <c r="N45" s="40">
        <v>3.2731859674999999</v>
      </c>
      <c r="O45" s="38" t="s">
        <v>12</v>
      </c>
      <c r="P45" s="41">
        <f t="shared" si="6"/>
        <v>16244023.512083519</v>
      </c>
      <c r="Q45" s="42">
        <f t="shared" si="16"/>
        <v>463541542</v>
      </c>
      <c r="R45" s="43">
        <f t="shared" si="14"/>
        <v>0.1453511905</v>
      </c>
      <c r="S45" s="42">
        <f t="shared" si="17"/>
        <v>2305976.4878124595</v>
      </c>
    </row>
    <row r="46" spans="1:22" x14ac:dyDescent="0.25">
      <c r="A46" s="45" t="s">
        <v>54</v>
      </c>
      <c r="B46" s="45" t="s">
        <v>19</v>
      </c>
      <c r="C46" s="46">
        <f>5415060752+11236855</f>
        <v>5426297607</v>
      </c>
      <c r="D46" s="47" t="s">
        <v>10</v>
      </c>
      <c r="E46" s="48">
        <v>1000</v>
      </c>
      <c r="F46" s="49" t="s">
        <v>11</v>
      </c>
      <c r="G46" s="50">
        <v>0.3132891196</v>
      </c>
      <c r="H46" s="51" t="s">
        <v>12</v>
      </c>
      <c r="I46" s="52">
        <f t="shared" si="15"/>
        <v>1699999.9999846166</v>
      </c>
      <c r="J46" s="129">
        <v>4962756065</v>
      </c>
      <c r="K46" s="54" t="s">
        <v>10</v>
      </c>
      <c r="L46" s="55">
        <v>1000</v>
      </c>
      <c r="M46" s="55" t="s">
        <v>11</v>
      </c>
      <c r="N46" s="56">
        <v>0.27103967820000002</v>
      </c>
      <c r="O46" s="54" t="s">
        <v>12</v>
      </c>
      <c r="P46" s="57">
        <f t="shared" si="6"/>
        <v>1345103.8068426985</v>
      </c>
      <c r="Q46" s="58">
        <f t="shared" si="16"/>
        <v>463541542</v>
      </c>
      <c r="R46" s="59">
        <f t="shared" si="14"/>
        <v>4.2249441399999976E-2</v>
      </c>
      <c r="S46" s="58">
        <f t="shared" si="17"/>
        <v>354896.19314191816</v>
      </c>
    </row>
    <row r="47" spans="1:22" x14ac:dyDescent="0.25">
      <c r="A47" s="29" t="s">
        <v>55</v>
      </c>
      <c r="B47" s="29" t="s">
        <v>19</v>
      </c>
      <c r="C47" s="30">
        <f>9114349911+43543518</f>
        <v>9157893429</v>
      </c>
      <c r="D47" s="31" t="s">
        <v>10</v>
      </c>
      <c r="E47" s="32">
        <v>1000</v>
      </c>
      <c r="F47" s="33" t="s">
        <v>11</v>
      </c>
      <c r="G47" s="34">
        <v>3.4593108389</v>
      </c>
      <c r="H47" s="35" t="s">
        <v>12</v>
      </c>
      <c r="I47" s="36">
        <f>C47/E47*G47+79142.27</f>
        <v>31759142.270430785</v>
      </c>
      <c r="J47" s="128">
        <v>8175957070</v>
      </c>
      <c r="K47" s="38" t="s">
        <v>10</v>
      </c>
      <c r="L47" s="39">
        <v>1000</v>
      </c>
      <c r="M47" s="39" t="s">
        <v>11</v>
      </c>
      <c r="N47" s="40">
        <v>3.3173229127999999</v>
      </c>
      <c r="O47" s="38" t="s">
        <v>12</v>
      </c>
      <c r="P47" s="41">
        <f t="shared" si="6"/>
        <v>27122289.722380154</v>
      </c>
      <c r="Q47" s="42">
        <f t="shared" si="16"/>
        <v>981936359</v>
      </c>
      <c r="R47" s="43">
        <f t="shared" si="14"/>
        <v>0.14198792610000011</v>
      </c>
      <c r="S47" s="42">
        <f t="shared" si="17"/>
        <v>4636852.5480506308</v>
      </c>
    </row>
    <row r="48" spans="1:22" x14ac:dyDescent="0.25">
      <c r="A48" s="29" t="s">
        <v>56</v>
      </c>
      <c r="B48" s="29" t="s">
        <v>19</v>
      </c>
      <c r="C48" s="46">
        <f>9114349911+87087037</f>
        <v>9201436948</v>
      </c>
      <c r="D48" s="47" t="s">
        <v>10</v>
      </c>
      <c r="E48" s="48">
        <v>1000</v>
      </c>
      <c r="F48" s="49" t="s">
        <v>11</v>
      </c>
      <c r="G48" s="50">
        <v>0.67076479850000004</v>
      </c>
      <c r="H48" s="51" t="s">
        <v>12</v>
      </c>
      <c r="I48" s="52">
        <f t="shared" si="15"/>
        <v>6172000.0003356757</v>
      </c>
      <c r="J48" s="129">
        <v>8175957070</v>
      </c>
      <c r="K48" s="54" t="s">
        <v>10</v>
      </c>
      <c r="L48" s="55">
        <v>1000</v>
      </c>
      <c r="M48" s="55" t="s">
        <v>11</v>
      </c>
      <c r="N48" s="56">
        <v>0.72794549009999998</v>
      </c>
      <c r="O48" s="54" t="s">
        <v>12</v>
      </c>
      <c r="P48" s="57">
        <f t="shared" si="6"/>
        <v>5951651.0763577102</v>
      </c>
      <c r="Q48" s="58">
        <f t="shared" si="16"/>
        <v>1025479878</v>
      </c>
      <c r="R48" s="59">
        <f t="shared" si="14"/>
        <v>-5.7180691599999944E-2</v>
      </c>
      <c r="S48" s="58">
        <f t="shared" si="17"/>
        <v>220348.92397796549</v>
      </c>
    </row>
    <row r="49" spans="1:19" x14ac:dyDescent="0.25">
      <c r="A49" s="45" t="s">
        <v>57</v>
      </c>
      <c r="B49" s="45" t="s">
        <v>19</v>
      </c>
      <c r="C49" s="30">
        <f>2985589381+344111</f>
        <v>2985933492</v>
      </c>
      <c r="D49" s="31" t="s">
        <v>10</v>
      </c>
      <c r="E49" s="32">
        <v>1000</v>
      </c>
      <c r="F49" s="33" t="s">
        <v>11</v>
      </c>
      <c r="G49" s="34">
        <v>2.2352346487000001</v>
      </c>
      <c r="H49" s="35" t="s">
        <v>12</v>
      </c>
      <c r="I49" s="36">
        <f>C49/E49*G49+13138.45</f>
        <v>6687400.4500321848</v>
      </c>
      <c r="J49" s="128">
        <v>2674386956</v>
      </c>
      <c r="K49" s="38" t="s">
        <v>10</v>
      </c>
      <c r="L49" s="39">
        <v>1000</v>
      </c>
      <c r="M49" s="39" t="s">
        <v>11</v>
      </c>
      <c r="N49" s="40">
        <v>2.2095148069999997</v>
      </c>
      <c r="O49" s="38" t="s">
        <v>12</v>
      </c>
      <c r="P49" s="41">
        <f t="shared" si="6"/>
        <v>5909097.5789296562</v>
      </c>
      <c r="Q49" s="42">
        <f t="shared" si="16"/>
        <v>311546536</v>
      </c>
      <c r="R49" s="43">
        <f t="shared" si="14"/>
        <v>2.5719841700000412E-2</v>
      </c>
      <c r="S49" s="42">
        <f t="shared" si="17"/>
        <v>778302.87110252865</v>
      </c>
    </row>
    <row r="50" spans="1:19" ht="15.75" thickBot="1" x14ac:dyDescent="0.3">
      <c r="A50" s="45" t="s">
        <v>58</v>
      </c>
      <c r="B50" s="45" t="s">
        <v>19</v>
      </c>
      <c r="C50" s="46">
        <f>2985589381+688222</f>
        <v>2986277603</v>
      </c>
      <c r="D50" s="47" t="s">
        <v>10</v>
      </c>
      <c r="E50" s="48">
        <v>1000</v>
      </c>
      <c r="F50" s="49" t="s">
        <v>11</v>
      </c>
      <c r="G50" s="50">
        <v>2.1029525163999998</v>
      </c>
      <c r="H50" s="51" t="s">
        <v>12</v>
      </c>
      <c r="I50" s="52">
        <f t="shared" si="15"/>
        <v>6279999.9998978097</v>
      </c>
      <c r="J50" s="129">
        <v>2674386956</v>
      </c>
      <c r="K50" s="54" t="s">
        <v>10</v>
      </c>
      <c r="L50" s="55">
        <v>1000</v>
      </c>
      <c r="M50" s="55" t="s">
        <v>11</v>
      </c>
      <c r="N50" s="56">
        <v>1.1961595879</v>
      </c>
      <c r="O50" s="54" t="s">
        <v>12</v>
      </c>
      <c r="P50" s="57">
        <f>(J50/L50)*N50</f>
        <v>3198993.5991740953</v>
      </c>
      <c r="Q50" s="58">
        <f t="shared" si="16"/>
        <v>311890647</v>
      </c>
      <c r="R50" s="59">
        <f t="shared" si="14"/>
        <v>0.90679292849999982</v>
      </c>
      <c r="S50" s="58">
        <f t="shared" si="17"/>
        <v>3081006.4007237144</v>
      </c>
    </row>
    <row r="51" spans="1:19" ht="15.75" thickBot="1" x14ac:dyDescent="0.3">
      <c r="A51" s="78" t="s">
        <v>59</v>
      </c>
      <c r="B51" s="79"/>
      <c r="C51" s="80"/>
      <c r="D51" s="81"/>
      <c r="E51" s="82"/>
      <c r="F51" s="83"/>
      <c r="G51" s="84"/>
      <c r="H51" s="85"/>
      <c r="I51" s="85"/>
      <c r="J51" s="80"/>
      <c r="K51" s="80"/>
      <c r="L51" s="80"/>
      <c r="M51" s="80"/>
      <c r="N51" s="80"/>
      <c r="O51" s="80"/>
      <c r="P51" s="80"/>
      <c r="Q51" s="86"/>
      <c r="R51" s="86"/>
      <c r="S51" s="86"/>
    </row>
    <row r="52" spans="1:19" x14ac:dyDescent="0.25">
      <c r="A52" s="29" t="s">
        <v>61</v>
      </c>
      <c r="B52" s="29" t="s">
        <v>9</v>
      </c>
      <c r="C52" s="46">
        <v>2809878992</v>
      </c>
      <c r="D52" s="47" t="s">
        <v>10</v>
      </c>
      <c r="E52" s="48">
        <v>1000</v>
      </c>
      <c r="F52" s="49" t="s">
        <v>11</v>
      </c>
      <c r="G52" s="50">
        <v>1.4230242369999999</v>
      </c>
      <c r="H52" s="51" t="s">
        <v>12</v>
      </c>
      <c r="I52" s="52">
        <f t="shared" ref="I52:I64" si="18">C52/E52*G52</f>
        <v>3998525.9086531289</v>
      </c>
      <c r="J52" s="129">
        <v>2573055841</v>
      </c>
      <c r="K52" s="39" t="s">
        <v>10</v>
      </c>
      <c r="L52" s="39">
        <v>1000</v>
      </c>
      <c r="M52" s="39" t="s">
        <v>11</v>
      </c>
      <c r="N52" s="40">
        <v>1.2886087574</v>
      </c>
      <c r="O52" s="38" t="s">
        <v>12</v>
      </c>
      <c r="P52" s="41">
        <f t="shared" si="6"/>
        <v>3315662.2899918221</v>
      </c>
      <c r="Q52" s="58">
        <f t="shared" ref="Q52:Q63" si="19">C52-J52</f>
        <v>236823151</v>
      </c>
      <c r="R52" s="59">
        <f t="shared" ref="R52:R63" si="20">G52-N52</f>
        <v>0.13441547959999989</v>
      </c>
      <c r="S52" s="58">
        <f t="shared" ref="S52:S63" si="21">I52-P52</f>
        <v>682863.6186613068</v>
      </c>
    </row>
    <row r="53" spans="1:19" x14ac:dyDescent="0.25">
      <c r="A53" s="45" t="s">
        <v>62</v>
      </c>
      <c r="B53" s="45" t="s">
        <v>9</v>
      </c>
      <c r="C53" s="30">
        <v>8820269748</v>
      </c>
      <c r="D53" s="31" t="s">
        <v>10</v>
      </c>
      <c r="E53" s="32">
        <v>1000</v>
      </c>
      <c r="F53" s="33" t="s">
        <v>11</v>
      </c>
      <c r="G53" s="34">
        <v>1.2924960796</v>
      </c>
      <c r="H53" s="35" t="s">
        <v>12</v>
      </c>
      <c r="I53" s="36">
        <f t="shared" si="18"/>
        <v>11400164.070304479</v>
      </c>
      <c r="J53" s="128">
        <v>8609188348</v>
      </c>
      <c r="K53" s="55" t="s">
        <v>10</v>
      </c>
      <c r="L53" s="55">
        <v>1000</v>
      </c>
      <c r="M53" s="55" t="s">
        <v>11</v>
      </c>
      <c r="N53" s="56">
        <v>1.2830841658000001</v>
      </c>
      <c r="O53" s="54" t="s">
        <v>12</v>
      </c>
      <c r="P53" s="57">
        <f t="shared" si="6"/>
        <v>11046313.24970866</v>
      </c>
      <c r="Q53" s="42">
        <f t="shared" si="19"/>
        <v>211081400</v>
      </c>
      <c r="R53" s="43">
        <f t="shared" si="20"/>
        <v>9.4119137999999491E-3</v>
      </c>
      <c r="S53" s="42">
        <f t="shared" si="21"/>
        <v>353850.8205958195</v>
      </c>
    </row>
    <row r="54" spans="1:19" x14ac:dyDescent="0.25">
      <c r="A54" s="29" t="s">
        <v>63</v>
      </c>
      <c r="B54" s="29" t="s">
        <v>9</v>
      </c>
      <c r="C54" s="46">
        <v>8280995199</v>
      </c>
      <c r="D54" s="47" t="s">
        <v>10</v>
      </c>
      <c r="E54" s="48">
        <v>1000</v>
      </c>
      <c r="F54" s="49" t="s">
        <v>11</v>
      </c>
      <c r="G54" s="50">
        <v>1.3125449802</v>
      </c>
      <c r="H54" s="51" t="s">
        <v>12</v>
      </c>
      <c r="I54" s="52">
        <f t="shared" si="18"/>
        <v>10869178.679507749</v>
      </c>
      <c r="J54" s="129">
        <v>7637870198</v>
      </c>
      <c r="K54" s="39" t="s">
        <v>10</v>
      </c>
      <c r="L54" s="39">
        <v>1000</v>
      </c>
      <c r="M54" s="39" t="s">
        <v>11</v>
      </c>
      <c r="N54" s="40">
        <v>1.3821628892</v>
      </c>
      <c r="O54" s="38" t="s">
        <v>12</v>
      </c>
      <c r="P54" s="41">
        <f t="shared" si="6"/>
        <v>10556780.740202256</v>
      </c>
      <c r="Q54" s="58">
        <f t="shared" si="19"/>
        <v>643125001</v>
      </c>
      <c r="R54" s="59">
        <f t="shared" si="20"/>
        <v>-6.9617908999999978E-2</v>
      </c>
      <c r="S54" s="58">
        <f t="shared" si="21"/>
        <v>312397.93930549361</v>
      </c>
    </row>
    <row r="55" spans="1:19" x14ac:dyDescent="0.25">
      <c r="A55" s="29" t="s">
        <v>64</v>
      </c>
      <c r="B55" s="29" t="s">
        <v>9</v>
      </c>
      <c r="C55" s="30">
        <v>8280995199</v>
      </c>
      <c r="D55" s="31" t="s">
        <v>10</v>
      </c>
      <c r="E55" s="32">
        <v>1000</v>
      </c>
      <c r="F55" s="33" t="s">
        <v>11</v>
      </c>
      <c r="G55" s="34">
        <v>0.4268919961</v>
      </c>
      <c r="H55" s="35" t="s">
        <v>12</v>
      </c>
      <c r="I55" s="36">
        <f t="shared" si="18"/>
        <v>3535090.5701956269</v>
      </c>
      <c r="J55" s="128">
        <v>7637870198</v>
      </c>
      <c r="K55" s="55" t="s">
        <v>10</v>
      </c>
      <c r="L55" s="55">
        <v>1000</v>
      </c>
      <c r="M55" s="55" t="s">
        <v>11</v>
      </c>
      <c r="N55" s="56">
        <v>0.45</v>
      </c>
      <c r="O55" s="54" t="s">
        <v>12</v>
      </c>
      <c r="P55" s="57">
        <f t="shared" si="6"/>
        <v>3437041.5891</v>
      </c>
      <c r="Q55" s="42">
        <f t="shared" si="19"/>
        <v>643125001</v>
      </c>
      <c r="R55" s="43">
        <f t="shared" si="20"/>
        <v>-2.3108003900000007E-2</v>
      </c>
      <c r="S55" s="42">
        <f t="shared" si="21"/>
        <v>98048.98109562695</v>
      </c>
    </row>
    <row r="56" spans="1:19" x14ac:dyDescent="0.25">
      <c r="A56" s="45" t="s">
        <v>65</v>
      </c>
      <c r="B56" s="45" t="s">
        <v>9</v>
      </c>
      <c r="C56" s="46">
        <v>1594156363</v>
      </c>
      <c r="D56" s="47" t="s">
        <v>10</v>
      </c>
      <c r="E56" s="48">
        <v>1000</v>
      </c>
      <c r="F56" s="49" t="s">
        <v>11</v>
      </c>
      <c r="G56" s="50">
        <v>1.2879398895</v>
      </c>
      <c r="H56" s="51" t="s">
        <v>12</v>
      </c>
      <c r="I56" s="52">
        <f t="shared" si="18"/>
        <v>2053177.5700079419</v>
      </c>
      <c r="J56" s="129">
        <v>1465585983</v>
      </c>
      <c r="K56" s="39" t="s">
        <v>10</v>
      </c>
      <c r="L56" s="39">
        <v>1000</v>
      </c>
      <c r="M56" s="39" t="s">
        <v>11</v>
      </c>
      <c r="N56" s="40">
        <v>1.3653963965</v>
      </c>
      <c r="O56" s="38" t="s">
        <v>12</v>
      </c>
      <c r="P56" s="41">
        <f t="shared" si="6"/>
        <v>2001105.8199491103</v>
      </c>
      <c r="Q56" s="58">
        <f t="shared" si="19"/>
        <v>128570380</v>
      </c>
      <c r="R56" s="59">
        <f t="shared" si="20"/>
        <v>-7.7456506999999952E-2</v>
      </c>
      <c r="S56" s="58">
        <f t="shared" si="21"/>
        <v>52071.750058831647</v>
      </c>
    </row>
    <row r="57" spans="1:19" x14ac:dyDescent="0.25">
      <c r="A57" s="45" t="s">
        <v>66</v>
      </c>
      <c r="B57" s="45" t="s">
        <v>9</v>
      </c>
      <c r="C57" s="30">
        <v>1594156363</v>
      </c>
      <c r="D57" s="31" t="s">
        <v>10</v>
      </c>
      <c r="E57" s="32">
        <v>1000</v>
      </c>
      <c r="F57" s="33" t="s">
        <v>11</v>
      </c>
      <c r="G57" s="34">
        <v>0.28232894870000003</v>
      </c>
      <c r="H57" s="35" t="s">
        <v>12</v>
      </c>
      <c r="I57" s="36">
        <f t="shared" si="18"/>
        <v>450076.49002920557</v>
      </c>
      <c r="J57" s="128">
        <v>1465585983</v>
      </c>
      <c r="K57" s="55" t="s">
        <v>10</v>
      </c>
      <c r="L57" s="55">
        <v>1000</v>
      </c>
      <c r="M57" s="55" t="s">
        <v>11</v>
      </c>
      <c r="N57" s="56">
        <v>0.29942725650000002</v>
      </c>
      <c r="O57" s="54" t="s">
        <v>12</v>
      </c>
      <c r="P57" s="57">
        <f>(J57/L57)*N57</f>
        <v>438836.39005454566</v>
      </c>
      <c r="Q57" s="42">
        <f t="shared" si="19"/>
        <v>128570380</v>
      </c>
      <c r="R57" s="43">
        <f t="shared" si="20"/>
        <v>-1.709830779999999E-2</v>
      </c>
      <c r="S57" s="42">
        <f t="shared" si="21"/>
        <v>11240.099974659912</v>
      </c>
    </row>
    <row r="58" spans="1:19" x14ac:dyDescent="0.25">
      <c r="A58" s="29" t="s">
        <v>67</v>
      </c>
      <c r="B58" s="29" t="s">
        <v>9</v>
      </c>
      <c r="C58" s="46">
        <v>1079755478</v>
      </c>
      <c r="D58" s="47" t="s">
        <v>10</v>
      </c>
      <c r="E58" s="48">
        <v>1000</v>
      </c>
      <c r="F58" s="49" t="s">
        <v>11</v>
      </c>
      <c r="G58" s="50">
        <v>1.0015550002</v>
      </c>
      <c r="H58" s="51" t="s">
        <v>12</v>
      </c>
      <c r="I58" s="52">
        <f t="shared" si="18"/>
        <v>1081434.497984241</v>
      </c>
      <c r="J58" s="129">
        <v>999544546</v>
      </c>
      <c r="K58" s="39" t="s">
        <v>10</v>
      </c>
      <c r="L58" s="39">
        <v>1000</v>
      </c>
      <c r="M58" s="39" t="s">
        <v>11</v>
      </c>
      <c r="N58" s="40">
        <v>0.68313034449999999</v>
      </c>
      <c r="O58" s="38" t="s">
        <v>12</v>
      </c>
      <c r="P58" s="41">
        <f t="shared" si="6"/>
        <v>682819.21005207603</v>
      </c>
      <c r="Q58" s="58">
        <f t="shared" si="19"/>
        <v>80210932</v>
      </c>
      <c r="R58" s="59">
        <f t="shared" si="20"/>
        <v>0.3184246557</v>
      </c>
      <c r="S58" s="58">
        <f t="shared" si="21"/>
        <v>398615.28793216497</v>
      </c>
    </row>
    <row r="59" spans="1:19" x14ac:dyDescent="0.25">
      <c r="A59" s="45" t="s">
        <v>68</v>
      </c>
      <c r="B59" s="45" t="s">
        <v>9</v>
      </c>
      <c r="C59" s="30">
        <v>5086054973</v>
      </c>
      <c r="D59" s="31" t="s">
        <v>10</v>
      </c>
      <c r="E59" s="32">
        <v>1000</v>
      </c>
      <c r="F59" s="33" t="s">
        <v>11</v>
      </c>
      <c r="G59" s="34">
        <v>1.4999999981000001</v>
      </c>
      <c r="H59" s="35" t="s">
        <v>12</v>
      </c>
      <c r="I59" s="36">
        <f t="shared" si="18"/>
        <v>7629082.4498364963</v>
      </c>
      <c r="J59" s="128">
        <v>4351106846</v>
      </c>
      <c r="K59" s="55" t="s">
        <v>10</v>
      </c>
      <c r="L59" s="55">
        <v>1000</v>
      </c>
      <c r="M59" s="55" t="s">
        <v>11</v>
      </c>
      <c r="N59" s="56">
        <v>1.4114436113</v>
      </c>
      <c r="O59" s="54" t="s">
        <v>12</v>
      </c>
      <c r="P59" s="57">
        <f t="shared" si="6"/>
        <v>6141341.9598703925</v>
      </c>
      <c r="Q59" s="42">
        <f t="shared" si="19"/>
        <v>734948127</v>
      </c>
      <c r="R59" s="43">
        <f t="shared" si="20"/>
        <v>8.8556386800000109E-2</v>
      </c>
      <c r="S59" s="42">
        <f t="shared" si="21"/>
        <v>1487740.4899661038</v>
      </c>
    </row>
    <row r="60" spans="1:19" x14ac:dyDescent="0.25">
      <c r="A60" s="29" t="s">
        <v>69</v>
      </c>
      <c r="B60" s="29" t="s">
        <v>19</v>
      </c>
      <c r="C60" s="46">
        <f>2529629857+958600</f>
        <v>2530588457</v>
      </c>
      <c r="D60" s="47" t="s">
        <v>10</v>
      </c>
      <c r="E60" s="48">
        <v>1000</v>
      </c>
      <c r="F60" s="49" t="s">
        <v>11</v>
      </c>
      <c r="G60" s="50">
        <v>0.1198733042</v>
      </c>
      <c r="H60" s="51" t="s">
        <v>12</v>
      </c>
      <c r="I60" s="52">
        <f t="shared" si="18"/>
        <v>303349.99991096964</v>
      </c>
      <c r="J60" s="129">
        <v>2277586499</v>
      </c>
      <c r="K60" s="39" t="s">
        <v>10</v>
      </c>
      <c r="L60" s="39">
        <v>1000</v>
      </c>
      <c r="M60" s="39" t="s">
        <v>11</v>
      </c>
      <c r="N60" s="40">
        <v>0.13023189030000001</v>
      </c>
      <c r="O60" s="38" t="s">
        <v>12</v>
      </c>
      <c r="P60" s="41">
        <f t="shared" si="6"/>
        <v>296614.39508652908</v>
      </c>
      <c r="Q60" s="58">
        <f t="shared" si="19"/>
        <v>253001958</v>
      </c>
      <c r="R60" s="59">
        <f t="shared" si="20"/>
        <v>-1.0358586100000011E-2</v>
      </c>
      <c r="S60" s="58">
        <f t="shared" si="21"/>
        <v>6735.6048244405538</v>
      </c>
    </row>
    <row r="61" spans="1:19" x14ac:dyDescent="0.25">
      <c r="A61" s="45" t="s">
        <v>70</v>
      </c>
      <c r="B61" s="45" t="s">
        <v>9</v>
      </c>
      <c r="C61" s="30">
        <v>378627252</v>
      </c>
      <c r="D61" s="31" t="s">
        <v>10</v>
      </c>
      <c r="E61" s="32">
        <v>1000</v>
      </c>
      <c r="F61" s="33" t="s">
        <v>11</v>
      </c>
      <c r="G61" s="34">
        <v>0.84491084120000004</v>
      </c>
      <c r="H61" s="35" t="s">
        <v>12</v>
      </c>
      <c r="I61" s="36">
        <f t="shared" si="18"/>
        <v>319906.26998856437</v>
      </c>
      <c r="J61" s="128">
        <v>340330524</v>
      </c>
      <c r="K61" s="55" t="s">
        <v>10</v>
      </c>
      <c r="L61" s="55">
        <v>1000</v>
      </c>
      <c r="M61" s="55" t="s">
        <v>11</v>
      </c>
      <c r="N61" s="56">
        <v>0.90861241709999996</v>
      </c>
      <c r="O61" s="54" t="s">
        <v>12</v>
      </c>
      <c r="P61" s="57">
        <f t="shared" si="6"/>
        <v>309228.54002454953</v>
      </c>
      <c r="Q61" s="42">
        <f t="shared" si="19"/>
        <v>38296728</v>
      </c>
      <c r="R61" s="43">
        <f t="shared" si="20"/>
        <v>-6.3701575899999918E-2</v>
      </c>
      <c r="S61" s="42">
        <f t="shared" si="21"/>
        <v>10677.729964014841</v>
      </c>
    </row>
    <row r="62" spans="1:19" x14ac:dyDescent="0.25">
      <c r="A62" s="29" t="s">
        <v>71</v>
      </c>
      <c r="B62" s="29" t="s">
        <v>9</v>
      </c>
      <c r="C62" s="46">
        <v>1612093614</v>
      </c>
      <c r="D62" s="47" t="s">
        <v>10</v>
      </c>
      <c r="E62" s="48">
        <v>1000</v>
      </c>
      <c r="F62" s="49" t="s">
        <v>11</v>
      </c>
      <c r="G62" s="50">
        <v>0.40895555589999999</v>
      </c>
      <c r="H62" s="51" t="s">
        <v>12</v>
      </c>
      <c r="I62" s="52">
        <f t="shared" si="18"/>
        <v>659274.64007621002</v>
      </c>
      <c r="J62" s="129">
        <v>1485139761</v>
      </c>
      <c r="K62" s="39" t="s">
        <v>10</v>
      </c>
      <c r="L62" s="39">
        <v>1000</v>
      </c>
      <c r="M62" s="39" t="s">
        <v>11</v>
      </c>
      <c r="N62" s="40">
        <v>0.43165763709999999</v>
      </c>
      <c r="O62" s="38" t="s">
        <v>12</v>
      </c>
      <c r="P62" s="41">
        <f t="shared" si="6"/>
        <v>641071.91999651864</v>
      </c>
      <c r="Q62" s="58">
        <f t="shared" si="19"/>
        <v>126953853</v>
      </c>
      <c r="R62" s="59">
        <f t="shared" si="20"/>
        <v>-2.2702081200000002E-2</v>
      </c>
      <c r="S62" s="58">
        <f t="shared" si="21"/>
        <v>18202.720079691382</v>
      </c>
    </row>
    <row r="63" spans="1:19" ht="15.75" hidden="1" thickBot="1" x14ac:dyDescent="0.3">
      <c r="A63" s="118" t="s">
        <v>88</v>
      </c>
      <c r="B63" s="118" t="s">
        <v>19</v>
      </c>
      <c r="C63" s="30"/>
      <c r="D63" s="31" t="s">
        <v>10</v>
      </c>
      <c r="E63" s="32">
        <v>1000</v>
      </c>
      <c r="F63" s="33" t="s">
        <v>11</v>
      </c>
      <c r="G63" s="34"/>
      <c r="H63" s="35" t="s">
        <v>12</v>
      </c>
      <c r="I63" s="36">
        <f t="shared" si="18"/>
        <v>0</v>
      </c>
      <c r="J63" s="37"/>
      <c r="K63" s="39" t="s">
        <v>10</v>
      </c>
      <c r="L63" s="39">
        <v>1000</v>
      </c>
      <c r="M63" s="39" t="s">
        <v>11</v>
      </c>
      <c r="N63" s="40"/>
      <c r="O63" s="38" t="s">
        <v>12</v>
      </c>
      <c r="P63" s="41">
        <v>0</v>
      </c>
      <c r="Q63" s="42">
        <f t="shared" si="19"/>
        <v>0</v>
      </c>
      <c r="R63" s="43">
        <f t="shared" si="20"/>
        <v>0</v>
      </c>
      <c r="S63" s="42">
        <f t="shared" si="21"/>
        <v>0</v>
      </c>
    </row>
    <row r="64" spans="1:19" ht="15.75" thickBot="1" x14ac:dyDescent="0.3">
      <c r="A64" s="140" t="s">
        <v>111</v>
      </c>
      <c r="B64" s="29" t="s">
        <v>19</v>
      </c>
      <c r="C64" s="30">
        <v>1593064863</v>
      </c>
      <c r="D64" s="31" t="s">
        <v>10</v>
      </c>
      <c r="E64" s="32">
        <v>1000</v>
      </c>
      <c r="F64" s="33" t="s">
        <v>11</v>
      </c>
      <c r="G64" s="33">
        <v>1.3051540136999999</v>
      </c>
      <c r="H64" s="35" t="s">
        <v>12</v>
      </c>
      <c r="I64" s="36">
        <f t="shared" si="18"/>
        <v>2079195.0000288903</v>
      </c>
      <c r="J64" s="128">
        <v>0</v>
      </c>
      <c r="K64" s="38" t="s">
        <v>10</v>
      </c>
      <c r="L64" s="39">
        <v>1000</v>
      </c>
      <c r="M64" s="39" t="s">
        <v>11</v>
      </c>
      <c r="N64" s="41">
        <v>0</v>
      </c>
      <c r="O64" s="38" t="s">
        <v>12</v>
      </c>
      <c r="P64" s="41">
        <f t="shared" ref="P64" si="22">(J64/L64)*N64</f>
        <v>0</v>
      </c>
      <c r="Q64" s="42">
        <f t="shared" ref="Q64" si="23">C64-J64</f>
        <v>1593064863</v>
      </c>
      <c r="R64" s="43">
        <f t="shared" ref="R64" si="24">G64-N64</f>
        <v>1.3051540136999999</v>
      </c>
      <c r="S64" s="42">
        <f t="shared" ref="S64" si="25">I64-P64</f>
        <v>2079195.0000288903</v>
      </c>
    </row>
    <row r="65" spans="1:19" ht="15.75" thickBot="1" x14ac:dyDescent="0.3">
      <c r="A65" s="78" t="s">
        <v>72</v>
      </c>
      <c r="B65" s="79"/>
      <c r="C65" s="80"/>
      <c r="D65" s="81"/>
      <c r="E65" s="82"/>
      <c r="F65" s="83"/>
      <c r="G65" s="84"/>
      <c r="H65" s="85"/>
      <c r="I65" s="85"/>
      <c r="J65" s="80"/>
      <c r="K65" s="80"/>
      <c r="L65" s="80"/>
      <c r="M65" s="80"/>
      <c r="N65" s="80"/>
      <c r="O65" s="80"/>
      <c r="P65" s="80"/>
      <c r="Q65" s="86"/>
      <c r="R65" s="86"/>
      <c r="S65" s="86"/>
    </row>
    <row r="66" spans="1:19" x14ac:dyDescent="0.25">
      <c r="A66" s="45" t="s">
        <v>73</v>
      </c>
      <c r="B66" s="45" t="s">
        <v>9</v>
      </c>
      <c r="C66" s="30">
        <v>1129334270</v>
      </c>
      <c r="D66" s="31" t="s">
        <v>10</v>
      </c>
      <c r="E66" s="32">
        <v>1000</v>
      </c>
      <c r="F66" s="33" t="s">
        <v>11</v>
      </c>
      <c r="G66" s="34">
        <v>1.6725269500000001E-2</v>
      </c>
      <c r="H66" s="35" t="s">
        <v>12</v>
      </c>
      <c r="I66" s="36">
        <f>C66/E66*G66</f>
        <v>18888.420021335765</v>
      </c>
      <c r="J66" s="128">
        <v>979704714</v>
      </c>
      <c r="K66" s="98" t="s">
        <v>10</v>
      </c>
      <c r="L66" s="98">
        <v>1000</v>
      </c>
      <c r="M66" s="98" t="s">
        <v>11</v>
      </c>
      <c r="N66" s="99">
        <v>1.8228911E-2</v>
      </c>
      <c r="O66" s="100" t="s">
        <v>12</v>
      </c>
      <c r="P66" s="101">
        <f>(J66/L66)*N66</f>
        <v>17858.950037786453</v>
      </c>
      <c r="Q66" s="42">
        <f>C66-J66</f>
        <v>149629556</v>
      </c>
      <c r="R66" s="43">
        <f>G66-N66</f>
        <v>-1.5036414999999997E-3</v>
      </c>
      <c r="S66" s="42">
        <f>I66-P66</f>
        <v>1029.469983549312</v>
      </c>
    </row>
    <row r="67" spans="1:19" x14ac:dyDescent="0.25">
      <c r="A67" s="29" t="s">
        <v>74</v>
      </c>
      <c r="B67" s="29" t="s">
        <v>9</v>
      </c>
      <c r="C67" s="46">
        <v>672427904</v>
      </c>
      <c r="D67" s="47" t="s">
        <v>10</v>
      </c>
      <c r="E67" s="48">
        <v>1000</v>
      </c>
      <c r="F67" s="49" t="s">
        <v>11</v>
      </c>
      <c r="G67" s="50">
        <v>7.5032668499999997E-2</v>
      </c>
      <c r="H67" s="51" t="s">
        <v>12</v>
      </c>
      <c r="I67" s="52">
        <f>C67/E67*G67</f>
        <v>50454.060010981819</v>
      </c>
      <c r="J67" s="129">
        <v>619303744</v>
      </c>
      <c r="K67" s="39" t="s">
        <v>10</v>
      </c>
      <c r="L67" s="39">
        <v>1000</v>
      </c>
      <c r="M67" s="39" t="s">
        <v>11</v>
      </c>
      <c r="N67" s="105">
        <v>7.9345233200000004E-2</v>
      </c>
      <c r="O67" s="38" t="s">
        <v>12</v>
      </c>
      <c r="P67" s="41">
        <f t="shared" ref="P67:P74" si="26">(J67/L67)*N67</f>
        <v>49138.799989313098</v>
      </c>
      <c r="Q67" s="58">
        <f>C67-J67</f>
        <v>53124160</v>
      </c>
      <c r="R67" s="59">
        <f>G67-N67</f>
        <v>-4.3125647000000072E-3</v>
      </c>
      <c r="S67" s="58">
        <f>I67-P67</f>
        <v>1315.2600216687206</v>
      </c>
    </row>
    <row r="68" spans="1:19" x14ac:dyDescent="0.25">
      <c r="A68" s="45" t="s">
        <v>75</v>
      </c>
      <c r="B68" s="45" t="s">
        <v>9</v>
      </c>
      <c r="C68" s="30">
        <v>281450371</v>
      </c>
      <c r="D68" s="31" t="s">
        <v>10</v>
      </c>
      <c r="E68" s="32">
        <v>1000</v>
      </c>
      <c r="F68" s="33" t="s">
        <v>11</v>
      </c>
      <c r="G68" s="34">
        <v>8.8768936100000001E-2</v>
      </c>
      <c r="H68" s="35" t="s">
        <v>12</v>
      </c>
      <c r="I68" s="36">
        <f>C68/E68*G68</f>
        <v>24984.049998620292</v>
      </c>
      <c r="J68" s="128">
        <v>260800950</v>
      </c>
      <c r="K68" s="55" t="s">
        <v>10</v>
      </c>
      <c r="L68" s="55">
        <v>1000</v>
      </c>
      <c r="M68" s="55" t="s">
        <v>11</v>
      </c>
      <c r="N68" s="106">
        <v>9.2809094499999994E-2</v>
      </c>
      <c r="O68" s="54" t="s">
        <v>12</v>
      </c>
      <c r="P68" s="57">
        <f t="shared" si="26"/>
        <v>24204.700014239774</v>
      </c>
      <c r="Q68" s="42">
        <f>C68-J68</f>
        <v>20649421</v>
      </c>
      <c r="R68" s="43">
        <f>G68-N68</f>
        <v>-4.0401583999999935E-3</v>
      </c>
      <c r="S68" s="42">
        <f>I68-P68</f>
        <v>779.34998438051844</v>
      </c>
    </row>
    <row r="69" spans="1:19" ht="15.75" thickBot="1" x14ac:dyDescent="0.3">
      <c r="A69" s="29" t="s">
        <v>76</v>
      </c>
      <c r="B69" s="29" t="s">
        <v>9</v>
      </c>
      <c r="C69" s="46">
        <v>3794843540</v>
      </c>
      <c r="D69" s="47" t="s">
        <v>10</v>
      </c>
      <c r="E69" s="48">
        <v>1000</v>
      </c>
      <c r="F69" s="49" t="s">
        <v>11</v>
      </c>
      <c r="G69" s="50">
        <v>2.9719978899999999E-2</v>
      </c>
      <c r="H69" s="51" t="s">
        <v>12</v>
      </c>
      <c r="I69" s="52">
        <f>C69/E69*G69</f>
        <v>112782.6699376013</v>
      </c>
      <c r="J69" s="129">
        <v>3460170740</v>
      </c>
      <c r="K69" s="39" t="s">
        <v>10</v>
      </c>
      <c r="L69" s="39">
        <v>1000</v>
      </c>
      <c r="M69" s="39" t="s">
        <v>11</v>
      </c>
      <c r="N69" s="105">
        <v>3.1804170499999999E-2</v>
      </c>
      <c r="O69" s="38" t="s">
        <v>12</v>
      </c>
      <c r="P69" s="41">
        <f>(J69/L69)*N69</f>
        <v>110047.86017407117</v>
      </c>
      <c r="Q69" s="58">
        <f>C69-J69</f>
        <v>334672800</v>
      </c>
      <c r="R69" s="59">
        <f>G69-N69</f>
        <v>-2.0841916000000002E-3</v>
      </c>
      <c r="S69" s="58">
        <f>I69-P69</f>
        <v>2734.8097635301237</v>
      </c>
    </row>
    <row r="70" spans="1:19" ht="15.75" thickBot="1" x14ac:dyDescent="0.3">
      <c r="A70" s="78" t="s">
        <v>77</v>
      </c>
      <c r="B70" s="79"/>
      <c r="C70" s="80"/>
      <c r="D70" s="81"/>
      <c r="E70" s="82"/>
      <c r="F70" s="83"/>
      <c r="G70" s="84"/>
      <c r="H70" s="85"/>
      <c r="I70" s="85"/>
      <c r="J70" s="80"/>
      <c r="K70" s="80"/>
      <c r="L70" s="80"/>
      <c r="M70" s="80"/>
      <c r="N70" s="80"/>
      <c r="O70" s="80"/>
      <c r="P70" s="80"/>
      <c r="Q70" s="86"/>
      <c r="R70" s="86"/>
      <c r="S70" s="86"/>
    </row>
    <row r="71" spans="1:19" x14ac:dyDescent="0.25">
      <c r="A71" s="107" t="s">
        <v>78</v>
      </c>
      <c r="B71" s="89" t="s">
        <v>9</v>
      </c>
      <c r="C71" s="30">
        <v>7155347432</v>
      </c>
      <c r="D71" s="31" t="s">
        <v>10</v>
      </c>
      <c r="E71" s="32">
        <v>1000</v>
      </c>
      <c r="F71" s="33" t="s">
        <v>11</v>
      </c>
      <c r="G71" s="34">
        <v>0.16554124049999999</v>
      </c>
      <c r="H71" s="35" t="s">
        <v>12</v>
      </c>
      <c r="I71" s="36">
        <f>C71/E71*G71+1342.04</f>
        <v>1185847.1301017695</v>
      </c>
      <c r="J71" s="128">
        <v>6522831299</v>
      </c>
      <c r="K71" s="39" t="s">
        <v>10</v>
      </c>
      <c r="L71" s="39">
        <v>1000</v>
      </c>
      <c r="M71" s="39" t="s">
        <v>11</v>
      </c>
      <c r="N71" s="105">
        <v>0.19942060589999999</v>
      </c>
      <c r="O71" s="38" t="s">
        <v>12</v>
      </c>
      <c r="P71" s="41">
        <f t="shared" si="26"/>
        <v>1300786.9698300639</v>
      </c>
      <c r="Q71" s="42">
        <f>C71-J71</f>
        <v>632516133</v>
      </c>
      <c r="R71" s="43">
        <f>G71-N71</f>
        <v>-3.38793654E-2</v>
      </c>
      <c r="S71" s="42">
        <f>I71-P71</f>
        <v>-114939.83972829441</v>
      </c>
    </row>
    <row r="72" spans="1:19" x14ac:dyDescent="0.25">
      <c r="A72" s="45" t="s">
        <v>79</v>
      </c>
      <c r="B72" s="12" t="s">
        <v>9</v>
      </c>
      <c r="C72" s="46">
        <v>7155347432</v>
      </c>
      <c r="D72" s="47" t="s">
        <v>10</v>
      </c>
      <c r="E72" s="48">
        <v>1000</v>
      </c>
      <c r="F72" s="49" t="s">
        <v>11</v>
      </c>
      <c r="G72" s="50">
        <v>0.18168230299999999</v>
      </c>
      <c r="H72" s="51" t="s">
        <v>12</v>
      </c>
      <c r="I72" s="52">
        <f>C72/E72*G72</f>
        <v>1300000.0002108959</v>
      </c>
      <c r="J72" s="129">
        <v>6522831299</v>
      </c>
      <c r="K72" s="55" t="s">
        <v>10</v>
      </c>
      <c r="L72" s="55">
        <v>1000</v>
      </c>
      <c r="M72" s="55" t="s">
        <v>11</v>
      </c>
      <c r="N72" s="111">
        <v>0.16863842549999999</v>
      </c>
      <c r="O72" s="54" t="s">
        <v>12</v>
      </c>
      <c r="P72" s="57">
        <f t="shared" si="26"/>
        <v>1100000.0000654797</v>
      </c>
      <c r="Q72" s="58">
        <f>C72-J72</f>
        <v>632516133</v>
      </c>
      <c r="R72" s="59">
        <f>G72-N72</f>
        <v>1.3043877499999995E-2</v>
      </c>
      <c r="S72" s="58">
        <f>I72-P72</f>
        <v>200000.00014541624</v>
      </c>
    </row>
    <row r="73" spans="1:19" x14ac:dyDescent="0.25">
      <c r="A73" s="29" t="s">
        <v>80</v>
      </c>
      <c r="B73" s="29" t="s">
        <v>9</v>
      </c>
      <c r="C73" s="30">
        <v>3007028313</v>
      </c>
      <c r="D73" s="31" t="s">
        <v>10</v>
      </c>
      <c r="E73" s="32">
        <v>1000</v>
      </c>
      <c r="F73" s="33" t="s">
        <v>11</v>
      </c>
      <c r="G73" s="34">
        <v>0.186850655</v>
      </c>
      <c r="H73" s="35" t="s">
        <v>12</v>
      </c>
      <c r="I73" s="36">
        <f>C73/E73*G73</f>
        <v>561865.20988759503</v>
      </c>
      <c r="J73" s="128">
        <v>2693898438</v>
      </c>
      <c r="K73" s="39" t="s">
        <v>10</v>
      </c>
      <c r="L73" s="39">
        <v>1000</v>
      </c>
      <c r="M73" s="39" t="s">
        <v>11</v>
      </c>
      <c r="N73" s="105">
        <v>0.19856102309999998</v>
      </c>
      <c r="O73" s="38" t="s">
        <v>12</v>
      </c>
      <c r="P73" s="41">
        <f t="shared" si="26"/>
        <v>534903.22997677187</v>
      </c>
      <c r="Q73" s="42">
        <f>C73-J73</f>
        <v>313129875</v>
      </c>
      <c r="R73" s="43">
        <f>G73-N73</f>
        <v>-1.1710368099999979E-2</v>
      </c>
      <c r="S73" s="42">
        <f>I73-P73</f>
        <v>26961.979910823167</v>
      </c>
    </row>
    <row r="74" spans="1:19" x14ac:dyDescent="0.25">
      <c r="A74" s="45" t="s">
        <v>81</v>
      </c>
      <c r="B74" s="45" t="s">
        <v>9</v>
      </c>
      <c r="C74" s="46">
        <v>36028142900</v>
      </c>
      <c r="D74" s="47" t="s">
        <v>10</v>
      </c>
      <c r="E74" s="48">
        <v>1000</v>
      </c>
      <c r="F74" s="49" t="s">
        <v>11</v>
      </c>
      <c r="G74" s="50">
        <v>0.11857166800000001</v>
      </c>
      <c r="H74" s="51" t="s">
        <v>12</v>
      </c>
      <c r="I74" s="52">
        <f>C74/E74*G74</f>
        <v>4271916.9985953569</v>
      </c>
      <c r="J74" s="129">
        <v>33079223893</v>
      </c>
      <c r="K74" s="55" t="s">
        <v>10</v>
      </c>
      <c r="L74" s="55">
        <v>1000</v>
      </c>
      <c r="M74" s="55" t="s">
        <v>11</v>
      </c>
      <c r="N74" s="106">
        <v>0.12908987869999999</v>
      </c>
      <c r="O74" s="54" t="s">
        <v>12</v>
      </c>
      <c r="P74" s="57">
        <f t="shared" si="26"/>
        <v>4270192.9998375112</v>
      </c>
      <c r="Q74" s="58">
        <f>C74-J74</f>
        <v>2948919007</v>
      </c>
      <c r="R74" s="59">
        <f>G74-N74</f>
        <v>-1.0518210699999989E-2</v>
      </c>
      <c r="S74" s="58">
        <f>I74-P74</f>
        <v>1723.9987578457221</v>
      </c>
    </row>
    <row r="75" spans="1:19" x14ac:dyDescent="0.25">
      <c r="A75" s="45" t="s">
        <v>82</v>
      </c>
      <c r="B75" s="45" t="s">
        <v>9</v>
      </c>
      <c r="C75" s="30">
        <v>36028142900</v>
      </c>
      <c r="D75" s="31" t="s">
        <v>10</v>
      </c>
      <c r="E75" s="32">
        <v>1000</v>
      </c>
      <c r="F75" s="33" t="s">
        <v>11</v>
      </c>
      <c r="G75" s="34">
        <v>0.15862435699999999</v>
      </c>
      <c r="H75" s="35" t="s">
        <v>12</v>
      </c>
      <c r="I75" s="36">
        <f>C75/E75*G75</f>
        <v>5714941.0014166152</v>
      </c>
      <c r="J75" s="128">
        <v>33079223893</v>
      </c>
      <c r="K75" s="39" t="s">
        <v>10</v>
      </c>
      <c r="L75" s="39">
        <v>1000</v>
      </c>
      <c r="M75" s="39" t="s">
        <v>11</v>
      </c>
      <c r="N75" s="105">
        <v>0.17281738590000001</v>
      </c>
      <c r="O75" s="38" t="s">
        <v>12</v>
      </c>
      <c r="P75" s="41">
        <f>(J75/L75)*N75</f>
        <v>5716665.0007890817</v>
      </c>
      <c r="Q75" s="42">
        <f>C75-J75</f>
        <v>2948919007</v>
      </c>
      <c r="R75" s="43">
        <f>G75-N75</f>
        <v>-1.4193028900000015E-2</v>
      </c>
      <c r="S75" s="42">
        <f>I75-P75</f>
        <v>-1723.9993724664673</v>
      </c>
    </row>
    <row r="76" spans="1:19" x14ac:dyDescent="0.25">
      <c r="C76" s="112"/>
      <c r="E76" s="113"/>
      <c r="G76" s="114"/>
      <c r="I76" s="115"/>
      <c r="P76" s="115"/>
      <c r="Q76" s="116"/>
      <c r="R76" s="117"/>
      <c r="S76" s="116"/>
    </row>
    <row r="77" spans="1:19" x14ac:dyDescent="0.25">
      <c r="G77" s="114"/>
      <c r="I77" s="115"/>
      <c r="P77" s="115"/>
    </row>
    <row r="78" spans="1:19" x14ac:dyDescent="0.25">
      <c r="G78" s="114"/>
      <c r="I78" s="115"/>
      <c r="P78" s="115"/>
    </row>
    <row r="89" spans="10:11" x14ac:dyDescent="0.25">
      <c r="J89" s="42"/>
      <c r="K89" s="43"/>
    </row>
    <row r="90" spans="10:11" x14ac:dyDescent="0.25">
      <c r="J90" s="58"/>
      <c r="K90" s="59"/>
    </row>
  </sheetData>
  <printOptions horizontalCentered="1" gridLines="1"/>
  <pageMargins left="0.5" right="0.5" top="0.5" bottom="1" header="0.3" footer="0.3"/>
  <pageSetup paperSize="5" scale="78" fitToHeight="0" orientation="landscape" r:id="rId1"/>
  <headerFooter>
    <oddHeader>&amp;C&amp;"-,Bold"&amp;14Comparison by Levy Report</oddHeader>
    <oddFooter>&amp;L&amp;"-,Bold"Legend&amp;"-,Regular":
AV =  Taxable Assessed Value
GF = General Fund
M+O&amp;O = Maintenance + Operations&amp;CPage &amp;P of &amp;N&amp;R
Nick Deatherage
Note: Administrative  Refund Levies are bundled with their parent levy.</oddFooter>
  </headerFooter>
  <rowBreaks count="2" manualBreakCount="2">
    <brk id="25" max="16383" man="1"/>
    <brk id="50" max="16383" man="1"/>
  </rowBreaks>
  <ignoredErrors>
    <ignoredError sqref="I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8"/>
  <sheetViews>
    <sheetView zoomScale="85" zoomScaleNormal="85" workbookViewId="0">
      <selection activeCell="I3" sqref="I3"/>
    </sheetView>
  </sheetViews>
  <sheetFormatPr defaultRowHeight="15" x14ac:dyDescent="0.25"/>
  <cols>
    <col min="1" max="1" width="25.28515625" style="28" customWidth="1"/>
    <col min="2" max="2" width="7.7109375" style="28" bestFit="1" customWidth="1"/>
    <col min="3" max="3" width="16" style="28" customWidth="1"/>
    <col min="4" max="4" width="3.7109375" style="113" customWidth="1"/>
    <col min="5" max="5" width="9.140625" style="28"/>
    <col min="6" max="6" width="3.7109375" style="113" customWidth="1"/>
    <col min="7" max="7" width="12.5703125" style="28" bestFit="1" customWidth="1"/>
    <col min="8" max="8" width="3.7109375" style="113" customWidth="1"/>
    <col min="9" max="9" width="16.5703125" style="28" customWidth="1"/>
    <col min="10" max="10" width="13.85546875" style="28" customWidth="1"/>
    <col min="11" max="11" width="3.7109375" style="113" customWidth="1"/>
    <col min="12" max="12" width="9.140625" style="28"/>
    <col min="13" max="13" width="3.7109375" style="113" customWidth="1"/>
    <col min="14" max="14" width="12.5703125" style="28" customWidth="1"/>
    <col min="15" max="15" width="3.7109375" style="113" customWidth="1"/>
    <col min="16" max="16" width="15.28515625" style="28" bestFit="1" customWidth="1"/>
    <col min="17" max="17" width="13.5703125" style="28" bestFit="1" customWidth="1"/>
    <col min="18" max="18" width="14.140625" style="28" bestFit="1" customWidth="1"/>
    <col min="19" max="19" width="16.28515625" style="28" customWidth="1"/>
    <col min="20" max="16384" width="9.140625" style="28"/>
  </cols>
  <sheetData>
    <row r="1" spans="1:19" s="11" customFormat="1" ht="30.75" thickBot="1" x14ac:dyDescent="0.3">
      <c r="A1" s="1" t="s">
        <v>0</v>
      </c>
      <c r="B1" s="2" t="s">
        <v>1</v>
      </c>
      <c r="C1" s="3" t="s">
        <v>95</v>
      </c>
      <c r="D1" s="4"/>
      <c r="E1" s="5" t="s">
        <v>3</v>
      </c>
      <c r="F1" s="4"/>
      <c r="G1" s="3" t="s">
        <v>96</v>
      </c>
      <c r="H1" s="6"/>
      <c r="I1" s="3" t="s">
        <v>5</v>
      </c>
      <c r="J1" s="7" t="s">
        <v>94</v>
      </c>
      <c r="K1" s="7"/>
      <c r="L1" s="8" t="s">
        <v>3</v>
      </c>
      <c r="M1" s="7"/>
      <c r="N1" s="7" t="s">
        <v>97</v>
      </c>
      <c r="O1" s="9"/>
      <c r="P1" s="7" t="s">
        <v>5</v>
      </c>
      <c r="Q1" s="2" t="s">
        <v>6</v>
      </c>
      <c r="R1" s="2" t="s">
        <v>7</v>
      </c>
      <c r="S1" s="10" t="s">
        <v>5</v>
      </c>
    </row>
    <row r="2" spans="1:19" x14ac:dyDescent="0.25">
      <c r="A2" s="12" t="s">
        <v>8</v>
      </c>
      <c r="B2" s="12" t="s">
        <v>9</v>
      </c>
      <c r="C2" s="13">
        <v>52287443142</v>
      </c>
      <c r="D2" s="14" t="s">
        <v>10</v>
      </c>
      <c r="E2" s="15">
        <v>1000</v>
      </c>
      <c r="F2" s="16" t="s">
        <v>11</v>
      </c>
      <c r="G2" s="17">
        <v>1.9808714248999999</v>
      </c>
      <c r="H2" s="18" t="s">
        <v>12</v>
      </c>
      <c r="I2" s="19">
        <f t="shared" ref="I2:I8" si="0">C2/E2*G2</f>
        <v>103574702.00107126</v>
      </c>
      <c r="J2" s="20">
        <v>46633240253</v>
      </c>
      <c r="K2" s="21" t="s">
        <v>10</v>
      </c>
      <c r="L2" s="22">
        <v>1000</v>
      </c>
      <c r="M2" s="22" t="s">
        <v>11</v>
      </c>
      <c r="N2" s="23">
        <v>2.0780111456000001</v>
      </c>
      <c r="O2" s="21" t="s">
        <v>12</v>
      </c>
      <c r="P2" s="24">
        <v>96904393.001176566</v>
      </c>
      <c r="Q2" s="25">
        <f>C2-J2</f>
        <v>5654202889</v>
      </c>
      <c r="R2" s="26">
        <f t="shared" ref="R2:R8" si="1">G2-N2</f>
        <v>-9.7139720700000209E-2</v>
      </c>
      <c r="S2" s="27">
        <f t="shared" ref="S2:S8" si="2">I2-P2</f>
        <v>6670308.9998946935</v>
      </c>
    </row>
    <row r="3" spans="1:19" x14ac:dyDescent="0.25">
      <c r="A3" s="29" t="s">
        <v>13</v>
      </c>
      <c r="B3" s="29" t="s">
        <v>9</v>
      </c>
      <c r="C3" s="30">
        <v>52292128421</v>
      </c>
      <c r="D3" s="31" t="s">
        <v>10</v>
      </c>
      <c r="E3" s="32">
        <v>1000</v>
      </c>
      <c r="F3" s="33" t="s">
        <v>11</v>
      </c>
      <c r="G3" s="34">
        <v>1.1752953046000001</v>
      </c>
      <c r="H3" s="35" t="s">
        <v>12</v>
      </c>
      <c r="I3" s="36">
        <f t="shared" si="0"/>
        <v>61458693.000741512</v>
      </c>
      <c r="J3" s="37">
        <v>46637770833</v>
      </c>
      <c r="K3" s="38" t="s">
        <v>10</v>
      </c>
      <c r="L3" s="39">
        <v>1000</v>
      </c>
      <c r="M3" s="39" t="s">
        <v>11</v>
      </c>
      <c r="N3" s="40">
        <v>1.2752323713</v>
      </c>
      <c r="O3" s="38" t="s">
        <v>12</v>
      </c>
      <c r="P3" s="41">
        <v>59473995.091512561</v>
      </c>
      <c r="Q3" s="42">
        <f t="shared" ref="Q3:Q8" si="3">C3-J3</f>
        <v>5654357588</v>
      </c>
      <c r="R3" s="43">
        <f t="shared" si="1"/>
        <v>-9.993706669999991E-2</v>
      </c>
      <c r="S3" s="44">
        <f t="shared" si="2"/>
        <v>1984697.9092289507</v>
      </c>
    </row>
    <row r="4" spans="1:19" x14ac:dyDescent="0.25">
      <c r="A4" s="45" t="s">
        <v>14</v>
      </c>
      <c r="B4" s="45" t="s">
        <v>9</v>
      </c>
      <c r="C4" s="46">
        <v>52292128421</v>
      </c>
      <c r="D4" s="47" t="s">
        <v>10</v>
      </c>
      <c r="E4" s="48">
        <v>1000</v>
      </c>
      <c r="F4" s="49" t="s">
        <v>11</v>
      </c>
      <c r="G4" s="50">
        <v>4.6208799500000002E-2</v>
      </c>
      <c r="H4" s="51" t="s">
        <v>12</v>
      </c>
      <c r="I4" s="52">
        <f t="shared" si="0"/>
        <v>2416356.4776342404</v>
      </c>
      <c r="J4" s="53">
        <v>46637770833</v>
      </c>
      <c r="K4" s="54" t="s">
        <v>10</v>
      </c>
      <c r="L4" s="55">
        <v>1000</v>
      </c>
      <c r="M4" s="55" t="s">
        <v>11</v>
      </c>
      <c r="N4" s="56">
        <v>5.0601759699999999E-2</v>
      </c>
      <c r="O4" s="54" t="s">
        <v>12</v>
      </c>
      <c r="P4" s="57">
        <v>2359953.2726351344</v>
      </c>
      <c r="Q4" s="58">
        <f t="shared" si="3"/>
        <v>5654357588</v>
      </c>
      <c r="R4" s="59">
        <f t="shared" si="1"/>
        <v>-4.392960199999997E-3</v>
      </c>
      <c r="S4" s="60">
        <f t="shared" si="2"/>
        <v>56403.204999106005</v>
      </c>
    </row>
    <row r="5" spans="1:19" x14ac:dyDescent="0.25">
      <c r="A5" s="29" t="s">
        <v>15</v>
      </c>
      <c r="B5" s="29" t="s">
        <v>9</v>
      </c>
      <c r="C5" s="30">
        <v>24808150213</v>
      </c>
      <c r="D5" s="31" t="s">
        <v>10</v>
      </c>
      <c r="E5" s="32">
        <v>1000</v>
      </c>
      <c r="F5" s="33" t="s">
        <v>11</v>
      </c>
      <c r="G5" s="34">
        <v>1.5719616090999999</v>
      </c>
      <c r="H5" s="35" t="s">
        <v>12</v>
      </c>
      <c r="I5" s="36">
        <f t="shared" si="0"/>
        <v>38997459.727621987</v>
      </c>
      <c r="J5" s="37">
        <v>22042289733</v>
      </c>
      <c r="K5" s="38" t="s">
        <v>10</v>
      </c>
      <c r="L5" s="39">
        <v>1000</v>
      </c>
      <c r="M5" s="39" t="s">
        <v>11</v>
      </c>
      <c r="N5" s="40">
        <v>1.7126453793</v>
      </c>
      <c r="O5" s="38" t="s">
        <v>12</v>
      </c>
      <c r="P5" s="41">
        <v>37750625.660414279</v>
      </c>
      <c r="Q5" s="42">
        <f t="shared" si="3"/>
        <v>2765860480</v>
      </c>
      <c r="R5" s="43">
        <f t="shared" si="1"/>
        <v>-0.14068377020000011</v>
      </c>
      <c r="S5" s="44">
        <f>I5-P5</f>
        <v>1246834.067207709</v>
      </c>
    </row>
    <row r="6" spans="1:19" x14ac:dyDescent="0.25">
      <c r="A6" s="45" t="s">
        <v>16</v>
      </c>
      <c r="B6" s="45" t="s">
        <v>9</v>
      </c>
      <c r="C6" s="46">
        <v>15891428227</v>
      </c>
      <c r="D6" s="47" t="s">
        <v>10</v>
      </c>
      <c r="E6" s="48">
        <v>1000</v>
      </c>
      <c r="F6" s="49" t="s">
        <v>11</v>
      </c>
      <c r="G6" s="50">
        <v>0.212950959</v>
      </c>
      <c r="H6" s="51" t="s">
        <v>12</v>
      </c>
      <c r="I6" s="52">
        <f t="shared" si="0"/>
        <v>3384094.8808193197</v>
      </c>
      <c r="J6" s="53">
        <v>14112047198</v>
      </c>
      <c r="K6" s="54" t="s">
        <v>10</v>
      </c>
      <c r="L6" s="55">
        <v>1000</v>
      </c>
      <c r="M6" s="55" t="s">
        <v>11</v>
      </c>
      <c r="N6" s="56">
        <v>0.21320150060000001</v>
      </c>
      <c r="O6" s="54" t="s">
        <v>12</v>
      </c>
      <c r="P6" s="57">
        <v>3008709.6391516258</v>
      </c>
      <c r="Q6" s="58">
        <f t="shared" si="3"/>
        <v>1779381029</v>
      </c>
      <c r="R6" s="59">
        <f t="shared" si="1"/>
        <v>-2.5054160000001491E-4</v>
      </c>
      <c r="S6" s="60">
        <f t="shared" si="2"/>
        <v>375385.24166769395</v>
      </c>
    </row>
    <row r="7" spans="1:19" x14ac:dyDescent="0.25">
      <c r="A7" s="61" t="s">
        <v>17</v>
      </c>
      <c r="B7" s="61" t="s">
        <v>9</v>
      </c>
      <c r="C7" s="62">
        <v>48515428723</v>
      </c>
      <c r="D7" s="63" t="s">
        <v>10</v>
      </c>
      <c r="E7" s="64">
        <v>1000</v>
      </c>
      <c r="F7" s="65" t="s">
        <v>11</v>
      </c>
      <c r="G7" s="66">
        <v>0.41721460040000002</v>
      </c>
      <c r="H7" s="67" t="s">
        <v>12</v>
      </c>
      <c r="I7" s="68">
        <f t="shared" si="0"/>
        <v>20241345.207901128</v>
      </c>
      <c r="J7" s="69">
        <v>43305085693</v>
      </c>
      <c r="K7" s="70" t="s">
        <v>10</v>
      </c>
      <c r="L7" s="71">
        <v>1000</v>
      </c>
      <c r="M7" s="71" t="s">
        <v>11</v>
      </c>
      <c r="N7" s="72">
        <v>0.4479857881</v>
      </c>
      <c r="O7" s="70" t="s">
        <v>12</v>
      </c>
      <c r="P7" s="73">
        <v>19400062.942916643</v>
      </c>
      <c r="Q7" s="74">
        <f t="shared" si="3"/>
        <v>5210343030</v>
      </c>
      <c r="R7" s="75">
        <f t="shared" si="1"/>
        <v>-3.077118769999998E-2</v>
      </c>
      <c r="S7" s="76">
        <f t="shared" si="2"/>
        <v>841282.26498448476</v>
      </c>
    </row>
    <row r="8" spans="1:19" ht="30.75" thickBot="1" x14ac:dyDescent="0.3">
      <c r="A8" s="77" t="s">
        <v>18</v>
      </c>
      <c r="B8" s="61" t="s">
        <v>19</v>
      </c>
      <c r="C8" s="62">
        <v>17910625930</v>
      </c>
      <c r="D8" s="63" t="s">
        <v>10</v>
      </c>
      <c r="E8" s="64">
        <v>1000</v>
      </c>
      <c r="F8" s="65" t="s">
        <v>11</v>
      </c>
      <c r="G8" s="66">
        <v>0.19341819839999999</v>
      </c>
      <c r="H8" s="67" t="s">
        <v>12</v>
      </c>
      <c r="I8" s="68">
        <f t="shared" si="0"/>
        <v>3464240.9995969245</v>
      </c>
      <c r="J8" s="69">
        <v>16141852364</v>
      </c>
      <c r="K8" s="70" t="s">
        <v>10</v>
      </c>
      <c r="L8" s="71">
        <v>1000</v>
      </c>
      <c r="M8" s="71" t="s">
        <v>11</v>
      </c>
      <c r="N8" s="72">
        <v>0.22303883829999999</v>
      </c>
      <c r="O8" s="70" t="s">
        <v>12</v>
      </c>
      <c r="P8" s="73">
        <v>3600259.9992766688</v>
      </c>
      <c r="Q8" s="74">
        <f t="shared" si="3"/>
        <v>1768773566</v>
      </c>
      <c r="R8" s="75">
        <f t="shared" si="1"/>
        <v>-2.9620639899999995E-2</v>
      </c>
      <c r="S8" s="76">
        <f t="shared" si="2"/>
        <v>-136018.99967974424</v>
      </c>
    </row>
    <row r="9" spans="1:19" ht="15.75" thickBot="1" x14ac:dyDescent="0.3">
      <c r="A9" s="78" t="s">
        <v>20</v>
      </c>
      <c r="B9" s="79"/>
      <c r="C9" s="80"/>
      <c r="D9" s="81"/>
      <c r="E9" s="82"/>
      <c r="F9" s="83"/>
      <c r="G9" s="84"/>
      <c r="H9" s="85"/>
      <c r="I9" s="86"/>
      <c r="J9" s="80"/>
      <c r="K9" s="85"/>
      <c r="L9" s="82"/>
      <c r="M9" s="82"/>
      <c r="N9" s="84"/>
      <c r="O9" s="85"/>
      <c r="P9" s="86"/>
      <c r="Q9" s="86"/>
      <c r="R9" s="86"/>
      <c r="S9" s="87"/>
    </row>
    <row r="10" spans="1:19" x14ac:dyDescent="0.25">
      <c r="A10" s="12" t="s">
        <v>21</v>
      </c>
      <c r="B10" s="12" t="s">
        <v>9</v>
      </c>
      <c r="C10" s="13">
        <v>1824114773</v>
      </c>
      <c r="D10" s="14" t="s">
        <v>10</v>
      </c>
      <c r="E10" s="15">
        <v>1000</v>
      </c>
      <c r="F10" s="16" t="s">
        <v>11</v>
      </c>
      <c r="G10" s="17">
        <v>1.5862626917</v>
      </c>
      <c r="H10" s="18" t="s">
        <v>12</v>
      </c>
      <c r="I10" s="19">
        <f t="shared" ref="I10:I23" si="4">C10/E10*G10</f>
        <v>2893525.2097887145</v>
      </c>
      <c r="J10" s="20">
        <v>1606931280</v>
      </c>
      <c r="K10" s="22" t="s">
        <v>10</v>
      </c>
      <c r="L10" s="22">
        <v>1000</v>
      </c>
      <c r="M10" s="22" t="s">
        <v>11</v>
      </c>
      <c r="N10" s="23">
        <v>1.747273281</v>
      </c>
      <c r="O10" s="21" t="s">
        <v>12</v>
      </c>
      <c r="P10" s="24">
        <v>2807748.0899471296</v>
      </c>
      <c r="Q10" s="25">
        <f t="shared" ref="Q10:Q23" si="5">C10-J10</f>
        <v>217183493</v>
      </c>
      <c r="R10" s="26">
        <f t="shared" ref="R10:R23" si="6">G10-N10</f>
        <v>-0.16101058930000001</v>
      </c>
      <c r="S10" s="27">
        <f t="shared" ref="S10:S23" si="7">I10-P10</f>
        <v>85777.119841584936</v>
      </c>
    </row>
    <row r="11" spans="1:19" x14ac:dyDescent="0.25">
      <c r="A11" s="29" t="s">
        <v>22</v>
      </c>
      <c r="B11" s="29" t="s">
        <v>9</v>
      </c>
      <c r="C11" s="30">
        <v>3776699698</v>
      </c>
      <c r="D11" s="31" t="s">
        <v>10</v>
      </c>
      <c r="E11" s="32">
        <v>1000</v>
      </c>
      <c r="F11" s="33" t="s">
        <v>11</v>
      </c>
      <c r="G11" s="34">
        <f>3.0605354898+0.0146889068</f>
        <v>3.0752243965999999</v>
      </c>
      <c r="H11" s="35" t="s">
        <v>12</v>
      </c>
      <c r="I11" s="36">
        <f t="shared" si="4"/>
        <v>11614199.049921451</v>
      </c>
      <c r="J11" s="37">
        <v>3332685140</v>
      </c>
      <c r="K11" s="39" t="s">
        <v>10</v>
      </c>
      <c r="L11" s="39">
        <v>1000</v>
      </c>
      <c r="M11" s="39" t="s">
        <v>11</v>
      </c>
      <c r="N11" s="40">
        <v>3.2419023058000001</v>
      </c>
      <c r="O11" s="38" t="s">
        <v>12</v>
      </c>
      <c r="P11" s="41">
        <v>10804239.639871396</v>
      </c>
      <c r="Q11" s="42">
        <f t="shared" si="5"/>
        <v>444014558</v>
      </c>
      <c r="R11" s="43">
        <f t="shared" si="6"/>
        <v>-0.16667790920000014</v>
      </c>
      <c r="S11" s="44">
        <f t="shared" si="7"/>
        <v>809959.41005005501</v>
      </c>
    </row>
    <row r="12" spans="1:19" x14ac:dyDescent="0.25">
      <c r="A12" s="29" t="s">
        <v>23</v>
      </c>
      <c r="B12" s="29" t="s">
        <v>9</v>
      </c>
      <c r="C12" s="30">
        <v>3776699698</v>
      </c>
      <c r="D12" s="31" t="s">
        <v>10</v>
      </c>
      <c r="E12" s="32">
        <v>1000</v>
      </c>
      <c r="F12" s="33" t="s">
        <v>11</v>
      </c>
      <c r="G12" s="34">
        <v>0.3660951838</v>
      </c>
      <c r="H12" s="35" t="s">
        <v>12</v>
      </c>
      <c r="I12" s="36">
        <f t="shared" si="4"/>
        <v>1382631.5700967144</v>
      </c>
      <c r="J12" s="37">
        <v>3332685140</v>
      </c>
      <c r="K12" s="39" t="s">
        <v>10</v>
      </c>
      <c r="L12" s="39">
        <v>1000</v>
      </c>
      <c r="M12" s="39" t="s">
        <v>11</v>
      </c>
      <c r="N12" s="40">
        <v>0.38717412709999999</v>
      </c>
      <c r="O12" s="38" t="s">
        <v>12</v>
      </c>
      <c r="P12" s="41">
        <v>1290329.4599786412</v>
      </c>
      <c r="Q12" s="42">
        <f t="shared" si="5"/>
        <v>444014558</v>
      </c>
      <c r="R12" s="43">
        <f t="shared" si="6"/>
        <v>-2.1078943299999986E-2</v>
      </c>
      <c r="S12" s="44">
        <f t="shared" si="7"/>
        <v>92302.110118073178</v>
      </c>
    </row>
    <row r="13" spans="1:19" x14ac:dyDescent="0.25">
      <c r="A13" s="29" t="s">
        <v>24</v>
      </c>
      <c r="B13" s="29" t="s">
        <v>19</v>
      </c>
      <c r="C13" s="30">
        <v>3760353818</v>
      </c>
      <c r="D13" s="31" t="s">
        <v>10</v>
      </c>
      <c r="E13" s="32">
        <v>1000</v>
      </c>
      <c r="F13" s="33" t="s">
        <v>11</v>
      </c>
      <c r="G13" s="34">
        <v>0.16647081799999999</v>
      </c>
      <c r="H13" s="35" t="s">
        <v>12</v>
      </c>
      <c r="I13" s="36">
        <f t="shared" si="4"/>
        <v>625989.17605188314</v>
      </c>
      <c r="J13" s="37">
        <v>3321068548</v>
      </c>
      <c r="K13" s="39" t="s">
        <v>10</v>
      </c>
      <c r="L13" s="39">
        <v>1000</v>
      </c>
      <c r="M13" s="39" t="s">
        <v>11</v>
      </c>
      <c r="N13" s="40">
        <v>0.1881880812</v>
      </c>
      <c r="O13" s="38" t="s">
        <v>12</v>
      </c>
      <c r="P13" s="41">
        <v>624985.5175817901</v>
      </c>
      <c r="Q13" s="42">
        <f t="shared" si="5"/>
        <v>439285270</v>
      </c>
      <c r="R13" s="43">
        <f t="shared" si="6"/>
        <v>-2.1717263200000003E-2</v>
      </c>
      <c r="S13" s="44">
        <f t="shared" si="7"/>
        <v>1003.6584700930398</v>
      </c>
    </row>
    <row r="14" spans="1:19" x14ac:dyDescent="0.25">
      <c r="A14" s="45" t="s">
        <v>25</v>
      </c>
      <c r="B14" s="45" t="s">
        <v>9</v>
      </c>
      <c r="C14" s="46">
        <v>339703879</v>
      </c>
      <c r="D14" s="47" t="s">
        <v>10</v>
      </c>
      <c r="E14" s="48">
        <v>1000</v>
      </c>
      <c r="F14" s="49" t="s">
        <v>11</v>
      </c>
      <c r="G14" s="50">
        <v>1.2487512984</v>
      </c>
      <c r="H14" s="51" t="s">
        <v>12</v>
      </c>
      <c r="I14" s="52">
        <f t="shared" si="4"/>
        <v>424205.65997276653</v>
      </c>
      <c r="J14" s="53">
        <v>306358720</v>
      </c>
      <c r="K14" s="55" t="s">
        <v>10</v>
      </c>
      <c r="L14" s="55">
        <v>1000</v>
      </c>
      <c r="M14" s="55" t="s">
        <v>11</v>
      </c>
      <c r="N14" s="56">
        <v>1.3420334828</v>
      </c>
      <c r="O14" s="54" t="s">
        <v>12</v>
      </c>
      <c r="P14" s="57">
        <v>411143.65998775</v>
      </c>
      <c r="Q14" s="58">
        <f t="shared" si="5"/>
        <v>33345159</v>
      </c>
      <c r="R14" s="59">
        <f t="shared" si="6"/>
        <v>-9.3282184400000023E-2</v>
      </c>
      <c r="S14" s="60">
        <f t="shared" si="7"/>
        <v>13061.999985016533</v>
      </c>
    </row>
    <row r="15" spans="1:19" x14ac:dyDescent="0.25">
      <c r="A15" s="45" t="s">
        <v>26</v>
      </c>
      <c r="B15" s="45" t="s">
        <v>9</v>
      </c>
      <c r="C15" s="30">
        <v>1062451903</v>
      </c>
      <c r="D15" s="31" t="s">
        <v>10</v>
      </c>
      <c r="E15" s="32">
        <v>1000</v>
      </c>
      <c r="F15" s="33" t="s">
        <v>11</v>
      </c>
      <c r="G15" s="34">
        <v>0.99052379410000002</v>
      </c>
      <c r="H15" s="35" t="s">
        <v>12</v>
      </c>
      <c r="I15" s="36">
        <f t="shared" si="4"/>
        <v>1052383.8900083252</v>
      </c>
      <c r="J15" s="53">
        <v>890239033</v>
      </c>
      <c r="K15" s="55" t="s">
        <v>10</v>
      </c>
      <c r="L15" s="55">
        <v>1000</v>
      </c>
      <c r="M15" s="55" t="s">
        <v>11</v>
      </c>
      <c r="N15" s="56">
        <v>1.0790219642000001</v>
      </c>
      <c r="O15" s="54" t="s">
        <v>12</v>
      </c>
      <c r="P15" s="57">
        <v>960587.46999516874</v>
      </c>
      <c r="Q15" s="42">
        <f t="shared" si="5"/>
        <v>172212870</v>
      </c>
      <c r="R15" s="43">
        <f t="shared" si="6"/>
        <v>-8.8498170100000051E-2</v>
      </c>
      <c r="S15" s="44">
        <f t="shared" si="7"/>
        <v>91796.420013156487</v>
      </c>
    </row>
    <row r="16" spans="1:19" x14ac:dyDescent="0.25">
      <c r="A16" s="118" t="s">
        <v>27</v>
      </c>
      <c r="B16" s="29" t="s">
        <v>9</v>
      </c>
      <c r="C16" s="46">
        <v>18642704534</v>
      </c>
      <c r="D16" s="47" t="s">
        <v>10</v>
      </c>
      <c r="E16" s="48">
        <v>1000</v>
      </c>
      <c r="F16" s="49" t="s">
        <v>11</v>
      </c>
      <c r="G16" s="50">
        <f>2.463519781+0.0042022336</f>
        <v>2.4677220146000001</v>
      </c>
      <c r="H16" s="51" t="s">
        <v>12</v>
      </c>
      <c r="I16" s="52">
        <f t="shared" si="4"/>
        <v>46005012.390235037</v>
      </c>
      <c r="J16" s="53">
        <v>16823220855</v>
      </c>
      <c r="K16" s="55" t="s">
        <v>10</v>
      </c>
      <c r="L16" s="55">
        <v>1000</v>
      </c>
      <c r="M16" s="55" t="s">
        <v>11</v>
      </c>
      <c r="N16" s="56">
        <v>2.6666414503000002</v>
      </c>
      <c r="O16" s="54" t="s">
        <v>12</v>
      </c>
      <c r="P16" s="57">
        <v>44861498.059494413</v>
      </c>
      <c r="Q16" s="58">
        <f t="shared" si="5"/>
        <v>1819483679</v>
      </c>
      <c r="R16" s="59">
        <f t="shared" si="6"/>
        <v>-0.19891943570000015</v>
      </c>
      <c r="S16" s="60">
        <f t="shared" si="7"/>
        <v>1143514.3307406232</v>
      </c>
    </row>
    <row r="17" spans="1:19" x14ac:dyDescent="0.25">
      <c r="A17" s="118" t="s">
        <v>100</v>
      </c>
      <c r="B17" s="29" t="s">
        <v>98</v>
      </c>
      <c r="C17" s="30">
        <v>18642704534</v>
      </c>
      <c r="D17" s="36"/>
      <c r="E17" s="32">
        <v>1000</v>
      </c>
      <c r="F17" s="36"/>
      <c r="G17" s="34">
        <v>0.32184171499999997</v>
      </c>
      <c r="H17" s="36"/>
      <c r="I17" s="36">
        <f t="shared" si="4"/>
        <v>5999999.9994608359</v>
      </c>
      <c r="J17" s="53" t="s">
        <v>101</v>
      </c>
      <c r="K17" s="55" t="s">
        <v>10</v>
      </c>
      <c r="L17" s="55" t="s">
        <v>99</v>
      </c>
      <c r="M17" s="55" t="s">
        <v>11</v>
      </c>
      <c r="N17" s="56">
        <v>0</v>
      </c>
      <c r="O17" s="54" t="s">
        <v>12</v>
      </c>
      <c r="P17" s="57">
        <v>0</v>
      </c>
      <c r="Q17" s="120" t="s">
        <v>99</v>
      </c>
      <c r="R17" s="59">
        <f t="shared" ref="R17" si="8">G17-N17</f>
        <v>0.32184171499999997</v>
      </c>
      <c r="S17" s="60">
        <f t="shared" ref="S17" si="9">I17-P17</f>
        <v>5999999.9994608359</v>
      </c>
    </row>
    <row r="18" spans="1:19" x14ac:dyDescent="0.25">
      <c r="A18" s="45" t="s">
        <v>28</v>
      </c>
      <c r="B18" s="45" t="s">
        <v>9</v>
      </c>
      <c r="C18" s="46">
        <v>1734745532</v>
      </c>
      <c r="D18" s="47" t="s">
        <v>10</v>
      </c>
      <c r="E18" s="48">
        <v>1000</v>
      </c>
      <c r="F18" s="49" t="s">
        <v>11</v>
      </c>
      <c r="G18" s="125">
        <f>2.4671345169+0.0073895045</f>
        <v>2.4745240213999997</v>
      </c>
      <c r="H18" s="51" t="s">
        <v>12</v>
      </c>
      <c r="I18" s="52">
        <f>C18/E18*G18</f>
        <v>4292669.4899503216</v>
      </c>
      <c r="J18" s="53">
        <v>1541426333</v>
      </c>
      <c r="K18" s="55" t="s">
        <v>10</v>
      </c>
      <c r="L18" s="55">
        <v>1000</v>
      </c>
      <c r="M18" s="55" t="s">
        <v>11</v>
      </c>
      <c r="N18" s="56">
        <v>2.6711950560000002</v>
      </c>
      <c r="O18" s="54" t="s">
        <v>12</v>
      </c>
      <c r="P18" s="57">
        <v>4117450.3998978101</v>
      </c>
      <c r="Q18" s="58">
        <f t="shared" si="5"/>
        <v>193319199</v>
      </c>
      <c r="R18" s="59">
        <f t="shared" si="6"/>
        <v>-0.19667103460000046</v>
      </c>
      <c r="S18" s="60">
        <f t="shared" si="7"/>
        <v>175219.09005251154</v>
      </c>
    </row>
    <row r="19" spans="1:19" x14ac:dyDescent="0.25">
      <c r="A19" s="29" t="s">
        <v>29</v>
      </c>
      <c r="B19" s="29" t="s">
        <v>9</v>
      </c>
      <c r="C19" s="123" t="s">
        <v>102</v>
      </c>
      <c r="D19" s="31" t="s">
        <v>10</v>
      </c>
      <c r="E19" s="32">
        <v>1000</v>
      </c>
      <c r="F19" s="33" t="s">
        <v>11</v>
      </c>
      <c r="G19" s="124" t="s">
        <v>99</v>
      </c>
      <c r="H19" s="35" t="s">
        <v>12</v>
      </c>
      <c r="I19" s="119" t="s">
        <v>102</v>
      </c>
      <c r="J19" s="37">
        <v>1541426333</v>
      </c>
      <c r="K19" s="39" t="s">
        <v>10</v>
      </c>
      <c r="L19" s="39">
        <v>1000</v>
      </c>
      <c r="M19" s="39" t="s">
        <v>11</v>
      </c>
      <c r="N19" s="40">
        <v>0.4392457722</v>
      </c>
      <c r="O19" s="38" t="s">
        <v>12</v>
      </c>
      <c r="P19" s="41">
        <v>677064.99992799934</v>
      </c>
      <c r="Q19" s="120" t="s">
        <v>102</v>
      </c>
      <c r="R19" s="121" t="s">
        <v>102</v>
      </c>
      <c r="S19" s="122" t="s">
        <v>102</v>
      </c>
    </row>
    <row r="20" spans="1:19" x14ac:dyDescent="0.25">
      <c r="A20" s="45" t="s">
        <v>30</v>
      </c>
      <c r="B20" s="45" t="s">
        <v>19</v>
      </c>
      <c r="C20" s="46">
        <v>1718167449</v>
      </c>
      <c r="D20" s="47" t="s">
        <v>10</v>
      </c>
      <c r="E20" s="48">
        <v>1000</v>
      </c>
      <c r="F20" s="49" t="s">
        <v>11</v>
      </c>
      <c r="G20" s="50">
        <v>4.0741081499999998E-2</v>
      </c>
      <c r="H20" s="51" t="s">
        <v>12</v>
      </c>
      <c r="I20" s="52">
        <f t="shared" si="4"/>
        <v>70000.000070356095</v>
      </c>
      <c r="J20" s="53">
        <v>1527786167</v>
      </c>
      <c r="K20" s="55" t="s">
        <v>10</v>
      </c>
      <c r="L20" s="55">
        <v>1000</v>
      </c>
      <c r="M20" s="55" t="s">
        <v>11</v>
      </c>
      <c r="N20" s="56">
        <v>4.5817930200000002E-2</v>
      </c>
      <c r="O20" s="54" t="s">
        <v>12</v>
      </c>
      <c r="P20" s="57">
        <v>69999.999960131536</v>
      </c>
      <c r="Q20" s="58">
        <f t="shared" si="5"/>
        <v>190381282</v>
      </c>
      <c r="R20" s="59">
        <f t="shared" si="6"/>
        <v>-5.0768487000000043E-3</v>
      </c>
      <c r="S20" s="60">
        <f t="shared" si="7"/>
        <v>1.1022455873899162E-4</v>
      </c>
    </row>
    <row r="21" spans="1:19" x14ac:dyDescent="0.25">
      <c r="A21" s="29" t="s">
        <v>31</v>
      </c>
      <c r="B21" s="29" t="s">
        <v>9</v>
      </c>
      <c r="C21" s="30">
        <v>7996439</v>
      </c>
      <c r="D21" s="31" t="s">
        <v>10</v>
      </c>
      <c r="E21" s="32">
        <v>1000</v>
      </c>
      <c r="F21" s="33" t="s">
        <v>11</v>
      </c>
      <c r="G21" s="34">
        <v>2.0626426634000001</v>
      </c>
      <c r="H21" s="35" t="s">
        <v>12</v>
      </c>
      <c r="I21" s="36">
        <f t="shared" si="4"/>
        <v>16493.796236675633</v>
      </c>
      <c r="J21" s="37">
        <v>7346216</v>
      </c>
      <c r="K21" s="39" t="s">
        <v>10</v>
      </c>
      <c r="L21" s="39">
        <v>1000</v>
      </c>
      <c r="M21" s="39" t="s">
        <v>11</v>
      </c>
      <c r="N21" s="40">
        <v>2.1175929999999998</v>
      </c>
      <c r="O21" s="38" t="s">
        <v>12</v>
      </c>
      <c r="P21" s="41">
        <v>15556.295578088</v>
      </c>
      <c r="Q21" s="42">
        <f t="shared" si="5"/>
        <v>650223</v>
      </c>
      <c r="R21" s="43">
        <f t="shared" si="6"/>
        <v>-5.4950336599999705E-2</v>
      </c>
      <c r="S21" s="44">
        <f t="shared" si="7"/>
        <v>937.50065858763264</v>
      </c>
    </row>
    <row r="22" spans="1:19" x14ac:dyDescent="0.25">
      <c r="A22" s="45" t="s">
        <v>85</v>
      </c>
      <c r="B22" s="45" t="s">
        <v>9</v>
      </c>
      <c r="C22" s="46">
        <v>95561450</v>
      </c>
      <c r="D22" s="47" t="s">
        <v>10</v>
      </c>
      <c r="E22" s="48">
        <v>1000</v>
      </c>
      <c r="F22" s="49" t="s">
        <v>11</v>
      </c>
      <c r="G22" s="50">
        <f>2.0251237293+0.0068043128</f>
        <v>2.0319280421000001</v>
      </c>
      <c r="H22" s="51" t="s">
        <v>12</v>
      </c>
      <c r="I22" s="52">
        <f t="shared" si="4"/>
        <v>194173.98999873706</v>
      </c>
      <c r="J22" s="53">
        <v>87273523</v>
      </c>
      <c r="K22" s="55" t="s">
        <v>10</v>
      </c>
      <c r="L22" s="55">
        <v>1000</v>
      </c>
      <c r="M22" s="55" t="s">
        <v>11</v>
      </c>
      <c r="N22" s="56">
        <v>2.1698832679</v>
      </c>
      <c r="O22" s="54" t="s">
        <v>12</v>
      </c>
      <c r="P22" s="57">
        <v>189373.3572883858</v>
      </c>
      <c r="Q22" s="58">
        <f t="shared" si="5"/>
        <v>8287927</v>
      </c>
      <c r="R22" s="59">
        <f t="shared" si="6"/>
        <v>-0.13795522579999986</v>
      </c>
      <c r="S22" s="60">
        <f t="shared" si="7"/>
        <v>4800.6327103512594</v>
      </c>
    </row>
    <row r="23" spans="1:19" ht="15.75" thickBot="1" x14ac:dyDescent="0.3">
      <c r="A23" s="118" t="s">
        <v>86</v>
      </c>
      <c r="B23" s="29" t="s">
        <v>9</v>
      </c>
      <c r="C23" s="30">
        <v>95561450</v>
      </c>
      <c r="D23" s="31" t="s">
        <v>10</v>
      </c>
      <c r="E23" s="32">
        <v>1000</v>
      </c>
      <c r="F23" s="33" t="s">
        <v>11</v>
      </c>
      <c r="G23" s="34">
        <v>0.44622470669999997</v>
      </c>
      <c r="H23" s="35" t="s">
        <v>12</v>
      </c>
      <c r="I23" s="36">
        <f t="shared" si="4"/>
        <v>42641.879998076714</v>
      </c>
      <c r="J23" s="37">
        <v>87273523</v>
      </c>
      <c r="K23" s="39" t="s">
        <v>10</v>
      </c>
      <c r="L23" s="39">
        <v>1000</v>
      </c>
      <c r="M23" s="39" t="s">
        <v>11</v>
      </c>
      <c r="N23" s="40">
        <v>0.48376287039999999</v>
      </c>
      <c r="O23" s="38" t="s">
        <v>12</v>
      </c>
      <c r="P23" s="41">
        <v>42219.689996400419</v>
      </c>
      <c r="Q23" s="42">
        <f t="shared" si="5"/>
        <v>8287927</v>
      </c>
      <c r="R23" s="43">
        <f t="shared" si="6"/>
        <v>-3.7538163700000016E-2</v>
      </c>
      <c r="S23" s="44">
        <f t="shared" si="7"/>
        <v>422.19000167629565</v>
      </c>
    </row>
    <row r="24" spans="1:19" ht="15.75" thickBot="1" x14ac:dyDescent="0.3">
      <c r="A24" s="78" t="s">
        <v>32</v>
      </c>
      <c r="B24" s="79"/>
      <c r="C24" s="80"/>
      <c r="D24" s="81"/>
      <c r="E24" s="82"/>
      <c r="F24" s="83"/>
      <c r="G24" s="84"/>
      <c r="H24" s="85"/>
      <c r="I24" s="85"/>
      <c r="J24" s="80"/>
      <c r="K24" s="80"/>
      <c r="L24" s="80"/>
      <c r="M24" s="80"/>
      <c r="N24" s="80"/>
      <c r="O24" s="80"/>
      <c r="P24" s="80"/>
      <c r="Q24" s="86"/>
      <c r="R24" s="86"/>
      <c r="S24" s="87"/>
    </row>
    <row r="25" spans="1:19" x14ac:dyDescent="0.25">
      <c r="A25" s="89" t="s">
        <v>33</v>
      </c>
      <c r="B25" s="89" t="s">
        <v>19</v>
      </c>
      <c r="C25" s="13">
        <v>16484621887</v>
      </c>
      <c r="D25" s="47" t="s">
        <v>10</v>
      </c>
      <c r="E25" s="48">
        <v>1000</v>
      </c>
      <c r="F25" s="49" t="s">
        <v>11</v>
      </c>
      <c r="G25" s="17">
        <f>2.8026087458+0.0158177799</f>
        <v>2.8184265257000001</v>
      </c>
      <c r="H25" s="51" t="s">
        <v>12</v>
      </c>
      <c r="I25" s="52">
        <f t="shared" ref="I25:I50" si="10">C25/E25*G25</f>
        <v>46460695.592455588</v>
      </c>
      <c r="J25" s="53">
        <v>14854377828</v>
      </c>
      <c r="K25" s="55" t="s">
        <v>10</v>
      </c>
      <c r="L25" s="55">
        <v>1000</v>
      </c>
      <c r="M25" s="55" t="s">
        <v>11</v>
      </c>
      <c r="N25" s="56">
        <v>3.0518041424</v>
      </c>
      <c r="O25" s="54" t="s">
        <v>12</v>
      </c>
      <c r="P25" s="57">
        <v>45332651.788265117</v>
      </c>
      <c r="Q25" s="58">
        <f t="shared" ref="Q25:Q50" si="11">C25-J25</f>
        <v>1630244059</v>
      </c>
      <c r="R25" s="59">
        <f t="shared" ref="R25:R50" si="12">G25-N25</f>
        <v>-0.2333776166999999</v>
      </c>
      <c r="S25" s="60">
        <f t="shared" ref="S25:S50" si="13">I25-P25</f>
        <v>1128043.8041904718</v>
      </c>
    </row>
    <row r="26" spans="1:19" x14ac:dyDescent="0.25">
      <c r="A26" s="12" t="s">
        <v>34</v>
      </c>
      <c r="B26" s="45" t="s">
        <v>19</v>
      </c>
      <c r="C26" s="13">
        <v>16484621887</v>
      </c>
      <c r="D26" s="47" t="s">
        <v>10</v>
      </c>
      <c r="E26" s="48">
        <v>1000</v>
      </c>
      <c r="F26" s="49" t="s">
        <v>11</v>
      </c>
      <c r="G26" s="17">
        <v>1.4316373260999999</v>
      </c>
      <c r="H26" s="51" t="s">
        <v>12</v>
      </c>
      <c r="I26" s="52">
        <f t="shared" si="10"/>
        <v>23600000.000074215</v>
      </c>
      <c r="J26" s="53">
        <v>14854377828</v>
      </c>
      <c r="K26" s="55" t="s">
        <v>10</v>
      </c>
      <c r="L26" s="55">
        <v>1000</v>
      </c>
      <c r="M26" s="55" t="s">
        <v>11</v>
      </c>
      <c r="N26" s="56">
        <v>1.5258128117</v>
      </c>
      <c r="O26" s="54" t="s">
        <v>12</v>
      </c>
      <c r="P26" s="57">
        <v>22664999.999794818</v>
      </c>
      <c r="Q26" s="58">
        <f t="shared" si="11"/>
        <v>1630244059</v>
      </c>
      <c r="R26" s="59">
        <f t="shared" si="12"/>
        <v>-9.4175485600000108E-2</v>
      </c>
      <c r="S26" s="60">
        <f t="shared" si="13"/>
        <v>935000.00027939677</v>
      </c>
    </row>
    <row r="27" spans="1:19" x14ac:dyDescent="0.25">
      <c r="A27" s="12" t="s">
        <v>35</v>
      </c>
      <c r="B27" s="45" t="s">
        <v>19</v>
      </c>
      <c r="C27" s="13">
        <v>16484621887</v>
      </c>
      <c r="D27" s="47" t="s">
        <v>10</v>
      </c>
      <c r="E27" s="48">
        <v>1000</v>
      </c>
      <c r="F27" s="49" t="s">
        <v>11</v>
      </c>
      <c r="G27" s="17">
        <v>0.24265039429999999</v>
      </c>
      <c r="H27" s="51" t="s">
        <v>12</v>
      </c>
      <c r="I27" s="52">
        <f t="shared" si="10"/>
        <v>4000000.00076696</v>
      </c>
      <c r="J27" s="53">
        <v>14854377828</v>
      </c>
      <c r="K27" s="55" t="s">
        <v>10</v>
      </c>
      <c r="L27" s="55">
        <v>1000</v>
      </c>
      <c r="M27" s="55" t="s">
        <v>11</v>
      </c>
      <c r="N27" s="56">
        <v>0.26928088449999998</v>
      </c>
      <c r="O27" s="54" t="s">
        <v>12</v>
      </c>
      <c r="P27" s="57">
        <v>4000000.0002210285</v>
      </c>
      <c r="Q27" s="58">
        <f t="shared" si="11"/>
        <v>1630244059</v>
      </c>
      <c r="R27" s="59">
        <f t="shared" si="12"/>
        <v>-2.6630490199999995E-2</v>
      </c>
      <c r="S27" s="60">
        <f t="shared" si="13"/>
        <v>5.4593151435256004E-4</v>
      </c>
    </row>
    <row r="28" spans="1:19" x14ac:dyDescent="0.25">
      <c r="A28" s="29" t="s">
        <v>36</v>
      </c>
      <c r="B28" s="29" t="s">
        <v>19</v>
      </c>
      <c r="C28" s="30">
        <v>2989647</v>
      </c>
      <c r="D28" s="31" t="s">
        <v>10</v>
      </c>
      <c r="E28" s="32">
        <v>1000</v>
      </c>
      <c r="F28" s="33" t="s">
        <v>11</v>
      </c>
      <c r="G28" s="34">
        <v>3.2895540300000001</v>
      </c>
      <c r="H28" s="35" t="s">
        <v>12</v>
      </c>
      <c r="I28" s="36">
        <f t="shared" si="10"/>
        <v>9834.6053371274102</v>
      </c>
      <c r="J28" s="37">
        <v>2829370</v>
      </c>
      <c r="K28" s="39" t="s">
        <v>10</v>
      </c>
      <c r="L28" s="39">
        <v>1000</v>
      </c>
      <c r="M28" s="39" t="s">
        <v>11</v>
      </c>
      <c r="N28" s="40">
        <v>3.4322798345000001</v>
      </c>
      <c r="O28" s="38" t="s">
        <v>12</v>
      </c>
      <c r="P28" s="41">
        <v>9711.189595339265</v>
      </c>
      <c r="Q28" s="42">
        <f t="shared" si="11"/>
        <v>160277</v>
      </c>
      <c r="R28" s="43">
        <f t="shared" si="12"/>
        <v>-0.14272580449999994</v>
      </c>
      <c r="S28" s="44">
        <f t="shared" si="13"/>
        <v>123.41574178814517</v>
      </c>
    </row>
    <row r="29" spans="1:19" x14ac:dyDescent="0.25">
      <c r="A29" s="45" t="s">
        <v>37</v>
      </c>
      <c r="B29" s="45" t="s">
        <v>19</v>
      </c>
      <c r="C29" s="46">
        <v>1237545952</v>
      </c>
      <c r="D29" s="47" t="s">
        <v>10</v>
      </c>
      <c r="E29" s="48">
        <v>1000</v>
      </c>
      <c r="F29" s="49" t="s">
        <v>11</v>
      </c>
      <c r="G29" s="50">
        <f>3.1980268854+0.0057622345</f>
        <v>3.2037891199000001</v>
      </c>
      <c r="H29" s="51" t="s">
        <v>12</v>
      </c>
      <c r="I29" s="52">
        <f t="shared" si="10"/>
        <v>3964836.256393888</v>
      </c>
      <c r="J29" s="53">
        <v>1081926806</v>
      </c>
      <c r="K29" s="55" t="s">
        <v>10</v>
      </c>
      <c r="L29" s="55">
        <v>1000</v>
      </c>
      <c r="M29" s="55" t="s">
        <v>11</v>
      </c>
      <c r="N29" s="56">
        <v>3.0696603565</v>
      </c>
      <c r="O29" s="54" t="s">
        <v>12</v>
      </c>
      <c r="P29" s="57">
        <v>3321147.8250128669</v>
      </c>
      <c r="Q29" s="58">
        <f t="shared" si="11"/>
        <v>155619146</v>
      </c>
      <c r="R29" s="59">
        <f t="shared" si="12"/>
        <v>0.13412876340000013</v>
      </c>
      <c r="S29" s="60">
        <f t="shared" si="13"/>
        <v>643688.43138102116</v>
      </c>
    </row>
    <row r="30" spans="1:19" x14ac:dyDescent="0.25">
      <c r="A30" s="45" t="s">
        <v>38</v>
      </c>
      <c r="B30" s="45" t="s">
        <v>19</v>
      </c>
      <c r="C30" s="46">
        <v>1237545952</v>
      </c>
      <c r="D30" s="47" t="s">
        <v>10</v>
      </c>
      <c r="E30" s="48">
        <v>1000</v>
      </c>
      <c r="F30" s="49" t="s">
        <v>11</v>
      </c>
      <c r="G30" s="50">
        <v>2.3595500837999999</v>
      </c>
      <c r="H30" s="51" t="s">
        <v>12</v>
      </c>
      <c r="I30" s="52">
        <f t="shared" si="10"/>
        <v>2920051.6547479508</v>
      </c>
      <c r="J30" s="53">
        <v>1081926806</v>
      </c>
      <c r="K30" s="55" t="s">
        <v>10</v>
      </c>
      <c r="L30" s="55">
        <v>1000</v>
      </c>
      <c r="M30" s="55" t="s">
        <v>11</v>
      </c>
      <c r="N30" s="56">
        <v>2.5984165258999998</v>
      </c>
      <c r="O30" s="54" t="s">
        <v>12</v>
      </c>
      <c r="P30" s="57">
        <v>2811296.4925246034</v>
      </c>
      <c r="Q30" s="58">
        <f t="shared" si="11"/>
        <v>155619146</v>
      </c>
      <c r="R30" s="59">
        <f t="shared" si="12"/>
        <v>-0.23886644209999996</v>
      </c>
      <c r="S30" s="60">
        <f t="shared" si="13"/>
        <v>108755.16222334746</v>
      </c>
    </row>
    <row r="31" spans="1:19" x14ac:dyDescent="0.25">
      <c r="A31" s="45" t="s">
        <v>39</v>
      </c>
      <c r="B31" s="45" t="s">
        <v>19</v>
      </c>
      <c r="C31" s="46">
        <v>1237545952</v>
      </c>
      <c r="D31" s="47" t="s">
        <v>10</v>
      </c>
      <c r="E31" s="48">
        <v>1000</v>
      </c>
      <c r="F31" s="49" t="s">
        <v>11</v>
      </c>
      <c r="G31" s="50">
        <v>0</v>
      </c>
      <c r="H31" s="51" t="s">
        <v>12</v>
      </c>
      <c r="I31" s="52">
        <v>0</v>
      </c>
      <c r="J31" s="53">
        <v>1081926806</v>
      </c>
      <c r="K31" s="55" t="s">
        <v>10</v>
      </c>
      <c r="L31" s="55">
        <v>1000</v>
      </c>
      <c r="M31" s="55" t="s">
        <v>11</v>
      </c>
      <c r="N31" s="56">
        <v>0.46103848780000001</v>
      </c>
      <c r="O31" s="54" t="s">
        <v>12</v>
      </c>
      <c r="P31" s="57">
        <v>498809.89854852401</v>
      </c>
      <c r="Q31" s="58">
        <f t="shared" si="11"/>
        <v>155619146</v>
      </c>
      <c r="R31" s="59">
        <f t="shared" si="12"/>
        <v>-0.46103848780000001</v>
      </c>
      <c r="S31" s="60">
        <f t="shared" si="13"/>
        <v>-498809.89854852401</v>
      </c>
    </row>
    <row r="32" spans="1:19" x14ac:dyDescent="0.25">
      <c r="A32" s="29" t="s">
        <v>40</v>
      </c>
      <c r="B32" s="29" t="s">
        <v>19</v>
      </c>
      <c r="C32" s="30">
        <v>996505761</v>
      </c>
      <c r="D32" s="31" t="s">
        <v>10</v>
      </c>
      <c r="E32" s="32">
        <v>1000</v>
      </c>
      <c r="F32" s="33" t="s">
        <v>11</v>
      </c>
      <c r="G32" s="34">
        <f>2.6836128949+0.0065904887</f>
        <v>2.6902033836000001</v>
      </c>
      <c r="H32" s="35" t="s">
        <v>12</v>
      </c>
      <c r="I32" s="36">
        <f t="shared" si="10"/>
        <v>2680803.170019093</v>
      </c>
      <c r="J32" s="37">
        <v>874916831</v>
      </c>
      <c r="K32" s="39" t="s">
        <v>10</v>
      </c>
      <c r="L32" s="39">
        <v>1000</v>
      </c>
      <c r="M32" s="39" t="s">
        <v>11</v>
      </c>
      <c r="N32" s="40">
        <v>2.9269812574</v>
      </c>
      <c r="O32" s="38" t="s">
        <v>12</v>
      </c>
      <c r="P32" s="41">
        <v>2560865.1661208034</v>
      </c>
      <c r="Q32" s="42">
        <f t="shared" si="11"/>
        <v>121588930</v>
      </c>
      <c r="R32" s="43">
        <f t="shared" si="12"/>
        <v>-0.23677787379999993</v>
      </c>
      <c r="S32" s="44">
        <f t="shared" si="13"/>
        <v>119938.00389828952</v>
      </c>
    </row>
    <row r="33" spans="1:19" x14ac:dyDescent="0.25">
      <c r="A33" s="29" t="s">
        <v>41</v>
      </c>
      <c r="B33" s="29" t="s">
        <v>19</v>
      </c>
      <c r="C33" s="30">
        <v>996505761</v>
      </c>
      <c r="D33" s="31" t="s">
        <v>10</v>
      </c>
      <c r="E33" s="32">
        <v>1000</v>
      </c>
      <c r="F33" s="33" t="s">
        <v>11</v>
      </c>
      <c r="G33" s="34">
        <v>1.3543180020000001</v>
      </c>
      <c r="H33" s="35" t="s">
        <v>12</v>
      </c>
      <c r="I33" s="36">
        <f t="shared" si="10"/>
        <v>1349585.6912190097</v>
      </c>
      <c r="J33" s="37">
        <v>874916831</v>
      </c>
      <c r="K33" s="39" t="s">
        <v>10</v>
      </c>
      <c r="L33" s="39">
        <v>1000</v>
      </c>
      <c r="M33" s="39" t="s">
        <v>11</v>
      </c>
      <c r="N33" s="40">
        <v>1.4552267139999999</v>
      </c>
      <c r="O33" s="38" t="s">
        <v>12</v>
      </c>
      <c r="P33" s="41">
        <v>1273202.3449994233</v>
      </c>
      <c r="Q33" s="42">
        <f t="shared" si="11"/>
        <v>121588930</v>
      </c>
      <c r="R33" s="43">
        <f t="shared" si="12"/>
        <v>-0.10090871199999984</v>
      </c>
      <c r="S33" s="44">
        <f t="shared" si="13"/>
        <v>76383.346219586441</v>
      </c>
    </row>
    <row r="34" spans="1:19" x14ac:dyDescent="0.25">
      <c r="A34" s="45" t="s">
        <v>42</v>
      </c>
      <c r="B34" s="45" t="s">
        <v>19</v>
      </c>
      <c r="C34" s="46">
        <v>181299111</v>
      </c>
      <c r="D34" s="47" t="s">
        <v>10</v>
      </c>
      <c r="E34" s="48">
        <v>1000</v>
      </c>
      <c r="F34" s="49" t="s">
        <v>11</v>
      </c>
      <c r="G34" s="50">
        <v>2.505925</v>
      </c>
      <c r="H34" s="51" t="s">
        <v>12</v>
      </c>
      <c r="I34" s="52">
        <f t="shared" si="10"/>
        <v>454321.97473267501</v>
      </c>
      <c r="J34" s="53">
        <v>161788371</v>
      </c>
      <c r="K34" s="55" t="s">
        <v>10</v>
      </c>
      <c r="L34" s="55">
        <v>1000</v>
      </c>
      <c r="M34" s="55" t="s">
        <v>11</v>
      </c>
      <c r="N34" s="56">
        <v>2.623011</v>
      </c>
      <c r="O34" s="54" t="s">
        <v>12</v>
      </c>
      <c r="P34" s="57">
        <v>424372.67680508102</v>
      </c>
      <c r="Q34" s="58">
        <f t="shared" si="11"/>
        <v>19510740</v>
      </c>
      <c r="R34" s="59">
        <f t="shared" si="12"/>
        <v>-0.11708600000000002</v>
      </c>
      <c r="S34" s="60">
        <f t="shared" si="13"/>
        <v>29949.297927593987</v>
      </c>
    </row>
    <row r="35" spans="1:19" x14ac:dyDescent="0.25">
      <c r="A35" s="45" t="s">
        <v>43</v>
      </c>
      <c r="B35" s="45" t="s">
        <v>19</v>
      </c>
      <c r="C35" s="46">
        <v>181299111</v>
      </c>
      <c r="D35" s="47" t="s">
        <v>10</v>
      </c>
      <c r="E35" s="48">
        <v>1000</v>
      </c>
      <c r="F35" s="49" t="s">
        <v>11</v>
      </c>
      <c r="G35" s="50">
        <v>1.9079809999999999</v>
      </c>
      <c r="H35" s="51" t="s">
        <v>12</v>
      </c>
      <c r="I35" s="52">
        <f t="shared" si="10"/>
        <v>345915.25910489098</v>
      </c>
      <c r="J35" s="53">
        <v>161788371</v>
      </c>
      <c r="K35" s="55" t="s">
        <v>10</v>
      </c>
      <c r="L35" s="55">
        <v>1000</v>
      </c>
      <c r="M35" s="55" t="s">
        <v>11</v>
      </c>
      <c r="N35" s="56">
        <v>1.9316500000000001</v>
      </c>
      <c r="O35" s="54" t="s">
        <v>12</v>
      </c>
      <c r="P35" s="57">
        <v>312518.50684215006</v>
      </c>
      <c r="Q35" s="58">
        <f t="shared" si="11"/>
        <v>19510740</v>
      </c>
      <c r="R35" s="59">
        <f t="shared" si="12"/>
        <v>-2.3669000000000162E-2</v>
      </c>
      <c r="S35" s="60">
        <f t="shared" si="13"/>
        <v>33396.75226274092</v>
      </c>
    </row>
    <row r="36" spans="1:19" x14ac:dyDescent="0.25">
      <c r="A36" s="29" t="s">
        <v>44</v>
      </c>
      <c r="B36" s="29" t="s">
        <v>19</v>
      </c>
      <c r="C36" s="30">
        <v>159997601</v>
      </c>
      <c r="D36" s="31" t="s">
        <v>10</v>
      </c>
      <c r="E36" s="32">
        <v>1000</v>
      </c>
      <c r="F36" s="33" t="s">
        <v>11</v>
      </c>
      <c r="G36" s="34">
        <f>2.9926682143+0.0102376535</f>
        <v>3.0029058678</v>
      </c>
      <c r="H36" s="35" t="s">
        <v>12</v>
      </c>
      <c r="I36" s="36">
        <f t="shared" si="10"/>
        <v>480457.73487682315</v>
      </c>
      <c r="J36" s="37">
        <v>156912646</v>
      </c>
      <c r="K36" s="39" t="s">
        <v>10</v>
      </c>
      <c r="L36" s="39">
        <v>1000</v>
      </c>
      <c r="M36" s="39" t="s">
        <v>11</v>
      </c>
      <c r="N36" s="40">
        <v>2.4200628290999999</v>
      </c>
      <c r="O36" s="38" t="s">
        <v>12</v>
      </c>
      <c r="P36" s="41">
        <v>379738.46200032678</v>
      </c>
      <c r="Q36" s="42">
        <f t="shared" si="11"/>
        <v>3084955</v>
      </c>
      <c r="R36" s="43">
        <f t="shared" si="12"/>
        <v>0.58284303870000009</v>
      </c>
      <c r="S36" s="44">
        <f t="shared" si="13"/>
        <v>100719.27287649637</v>
      </c>
    </row>
    <row r="37" spans="1:19" x14ac:dyDescent="0.25">
      <c r="A37" s="29" t="s">
        <v>45</v>
      </c>
      <c r="B37" s="29" t="s">
        <v>19</v>
      </c>
      <c r="C37" s="30">
        <v>159997601</v>
      </c>
      <c r="D37" s="31" t="s">
        <v>10</v>
      </c>
      <c r="E37" s="32">
        <v>1000</v>
      </c>
      <c r="F37" s="33" t="s">
        <v>11</v>
      </c>
      <c r="G37" s="34">
        <v>0</v>
      </c>
      <c r="H37" s="35" t="s">
        <v>12</v>
      </c>
      <c r="I37" s="36">
        <v>0</v>
      </c>
      <c r="J37" s="37">
        <v>156912646</v>
      </c>
      <c r="K37" s="39" t="s">
        <v>10</v>
      </c>
      <c r="L37" s="39">
        <v>1000</v>
      </c>
      <c r="M37" s="39" t="s">
        <v>11</v>
      </c>
      <c r="N37" s="40">
        <v>0</v>
      </c>
      <c r="O37" s="38" t="s">
        <v>12</v>
      </c>
      <c r="P37" s="41">
        <v>0</v>
      </c>
      <c r="Q37" s="42">
        <f t="shared" si="11"/>
        <v>3084955</v>
      </c>
      <c r="R37" s="43">
        <f t="shared" si="12"/>
        <v>0</v>
      </c>
      <c r="S37" s="44">
        <f t="shared" si="13"/>
        <v>0</v>
      </c>
    </row>
    <row r="38" spans="1:19" x14ac:dyDescent="0.25">
      <c r="A38" s="29" t="s">
        <v>46</v>
      </c>
      <c r="B38" s="29" t="s">
        <v>19</v>
      </c>
      <c r="C38" s="30">
        <v>159997601</v>
      </c>
      <c r="D38" s="31" t="s">
        <v>10</v>
      </c>
      <c r="E38" s="32">
        <v>1000</v>
      </c>
      <c r="F38" s="33" t="s">
        <v>11</v>
      </c>
      <c r="G38" s="34">
        <v>0.40194686759999998</v>
      </c>
      <c r="H38" s="35" t="s">
        <v>12</v>
      </c>
      <c r="I38" s="36">
        <f t="shared" si="10"/>
        <v>64310.534545464623</v>
      </c>
      <c r="J38" s="37">
        <v>156912646</v>
      </c>
      <c r="K38" s="39" t="s">
        <v>10</v>
      </c>
      <c r="L38" s="39">
        <v>1000</v>
      </c>
      <c r="M38" s="39" t="s">
        <v>11</v>
      </c>
      <c r="N38" s="40">
        <v>0.40309279279999999</v>
      </c>
      <c r="O38" s="38" t="s">
        <v>12</v>
      </c>
      <c r="P38" s="41">
        <v>63250.356701777753</v>
      </c>
      <c r="Q38" s="42">
        <f t="shared" si="11"/>
        <v>3084955</v>
      </c>
      <c r="R38" s="43">
        <f t="shared" si="12"/>
        <v>-1.1459252000000086E-3</v>
      </c>
      <c r="S38" s="44">
        <f t="shared" si="13"/>
        <v>1060.1778436868699</v>
      </c>
    </row>
    <row r="39" spans="1:19" x14ac:dyDescent="0.25">
      <c r="A39" s="45" t="s">
        <v>47</v>
      </c>
      <c r="B39" s="45" t="s">
        <v>19</v>
      </c>
      <c r="C39" s="46">
        <v>2144707777</v>
      </c>
      <c r="D39" s="47" t="s">
        <v>10</v>
      </c>
      <c r="E39" s="48">
        <v>1000</v>
      </c>
      <c r="F39" s="49" t="s">
        <v>11</v>
      </c>
      <c r="G39" s="50">
        <f>2.73624282+0.0090966845</f>
        <v>2.7453395045</v>
      </c>
      <c r="H39" s="51" t="s">
        <v>12</v>
      </c>
      <c r="I39" s="52">
        <f t="shared" si="10"/>
        <v>5887950.9858064754</v>
      </c>
      <c r="J39" s="53">
        <v>1913401169</v>
      </c>
      <c r="K39" s="55" t="s">
        <v>10</v>
      </c>
      <c r="L39" s="55">
        <v>1000</v>
      </c>
      <c r="M39" s="55" t="s">
        <v>11</v>
      </c>
      <c r="N39" s="56">
        <v>2.9224718132</v>
      </c>
      <c r="O39" s="54" t="s">
        <v>12</v>
      </c>
      <c r="P39" s="57">
        <v>5591860.9837464299</v>
      </c>
      <c r="Q39" s="58">
        <f t="shared" si="11"/>
        <v>231306608</v>
      </c>
      <c r="R39" s="59">
        <f t="shared" si="12"/>
        <v>-0.17713230870000007</v>
      </c>
      <c r="S39" s="60">
        <f t="shared" si="13"/>
        <v>296090.00206004549</v>
      </c>
    </row>
    <row r="40" spans="1:19" x14ac:dyDescent="0.25">
      <c r="A40" s="45" t="s">
        <v>48</v>
      </c>
      <c r="B40" s="45" t="s">
        <v>19</v>
      </c>
      <c r="C40" s="46">
        <v>2144707777</v>
      </c>
      <c r="D40" s="47" t="s">
        <v>10</v>
      </c>
      <c r="E40" s="48">
        <v>1000</v>
      </c>
      <c r="F40" s="49" t="s">
        <v>11</v>
      </c>
      <c r="G40" s="50">
        <v>2.1333149629000001</v>
      </c>
      <c r="H40" s="51" t="s">
        <v>12</v>
      </c>
      <c r="I40" s="52">
        <f t="shared" si="10"/>
        <v>4575337.1917220959</v>
      </c>
      <c r="J40" s="53">
        <v>1913401169</v>
      </c>
      <c r="K40" s="55" t="s">
        <v>10</v>
      </c>
      <c r="L40" s="55">
        <v>1000</v>
      </c>
      <c r="M40" s="55" t="s">
        <v>11</v>
      </c>
      <c r="N40" s="56">
        <v>2.1142198052999999</v>
      </c>
      <c r="O40" s="54" t="s">
        <v>12</v>
      </c>
      <c r="P40" s="57">
        <v>4045350.6469839723</v>
      </c>
      <c r="Q40" s="58">
        <f t="shared" si="11"/>
        <v>231306608</v>
      </c>
      <c r="R40" s="59">
        <f t="shared" si="12"/>
        <v>1.9095157600000245E-2</v>
      </c>
      <c r="S40" s="60">
        <f t="shared" si="13"/>
        <v>529986.54473812366</v>
      </c>
    </row>
    <row r="41" spans="1:19" x14ac:dyDescent="0.25">
      <c r="A41" s="45" t="s">
        <v>49</v>
      </c>
      <c r="B41" s="45" t="s">
        <v>19</v>
      </c>
      <c r="C41" s="46">
        <v>2144707777</v>
      </c>
      <c r="D41" s="47" t="s">
        <v>10</v>
      </c>
      <c r="E41" s="48">
        <v>1000</v>
      </c>
      <c r="F41" s="49" t="s">
        <v>11</v>
      </c>
      <c r="G41" s="50">
        <v>0.2806993384</v>
      </c>
      <c r="H41" s="51" t="s">
        <v>12</v>
      </c>
      <c r="I41" s="52">
        <f t="shared" si="10"/>
        <v>602018.05406523461</v>
      </c>
      <c r="J41" s="53">
        <v>1913401169</v>
      </c>
      <c r="K41" s="55" t="s">
        <v>10</v>
      </c>
      <c r="L41" s="55">
        <v>1000</v>
      </c>
      <c r="M41" s="55" t="s">
        <v>11</v>
      </c>
      <c r="N41" s="56">
        <v>0.31170047670000001</v>
      </c>
      <c r="O41" s="54" t="s">
        <v>12</v>
      </c>
      <c r="P41" s="57">
        <v>596408.05649563728</v>
      </c>
      <c r="Q41" s="58">
        <f t="shared" si="11"/>
        <v>231306608</v>
      </c>
      <c r="R41" s="59">
        <f t="shared" si="12"/>
        <v>-3.1001138300000008E-2</v>
      </c>
      <c r="S41" s="60">
        <f t="shared" si="13"/>
        <v>5609.9975695973262</v>
      </c>
    </row>
    <row r="42" spans="1:19" x14ac:dyDescent="0.25">
      <c r="A42" s="29" t="s">
        <v>50</v>
      </c>
      <c r="B42" s="29" t="s">
        <v>19</v>
      </c>
      <c r="C42" s="30">
        <v>14801763092</v>
      </c>
      <c r="D42" s="31" t="s">
        <v>10</v>
      </c>
      <c r="E42" s="32">
        <v>1000</v>
      </c>
      <c r="F42" s="33" t="s">
        <v>11</v>
      </c>
      <c r="G42" s="34">
        <f>3.3148767504+0.0107422939</f>
        <v>3.3256190442999998</v>
      </c>
      <c r="H42" s="35" t="s">
        <v>12</v>
      </c>
      <c r="I42" s="36">
        <f t="shared" si="10"/>
        <v>49225025.227972053</v>
      </c>
      <c r="J42" s="37">
        <v>13286978883</v>
      </c>
      <c r="K42" s="39" t="s">
        <v>10</v>
      </c>
      <c r="L42" s="39">
        <v>1000</v>
      </c>
      <c r="M42" s="39" t="s">
        <v>11</v>
      </c>
      <c r="N42" s="40">
        <v>3.5247745100999999</v>
      </c>
      <c r="O42" s="38" t="s">
        <v>12</v>
      </c>
      <c r="P42" s="41">
        <v>46833604.483035363</v>
      </c>
      <c r="Q42" s="42">
        <f t="shared" si="11"/>
        <v>1514784209</v>
      </c>
      <c r="R42" s="43">
        <f t="shared" si="12"/>
        <v>-0.1991554658000001</v>
      </c>
      <c r="S42" s="44">
        <f t="shared" si="13"/>
        <v>2391420.7449366897</v>
      </c>
    </row>
    <row r="43" spans="1:19" x14ac:dyDescent="0.25">
      <c r="A43" s="29" t="s">
        <v>51</v>
      </c>
      <c r="B43" s="29" t="s">
        <v>19</v>
      </c>
      <c r="C43" s="30">
        <v>14801763092</v>
      </c>
      <c r="D43" s="31" t="s">
        <v>10</v>
      </c>
      <c r="E43" s="32">
        <v>1000</v>
      </c>
      <c r="F43" s="33" t="s">
        <v>11</v>
      </c>
      <c r="G43" s="34">
        <v>1.6889205410000001</v>
      </c>
      <c r="H43" s="35" t="s">
        <v>12</v>
      </c>
      <c r="I43" s="36">
        <f t="shared" si="10"/>
        <v>24999001.729094476</v>
      </c>
      <c r="J43" s="37">
        <v>13286978883</v>
      </c>
      <c r="K43" s="39" t="s">
        <v>10</v>
      </c>
      <c r="L43" s="39">
        <v>1000</v>
      </c>
      <c r="M43" s="39" t="s">
        <v>11</v>
      </c>
      <c r="N43" s="40">
        <v>1.8438136408000001</v>
      </c>
      <c r="O43" s="38" t="s">
        <v>12</v>
      </c>
      <c r="P43" s="41">
        <v>24498712.909496948</v>
      </c>
      <c r="Q43" s="42">
        <f t="shared" si="11"/>
        <v>1514784209</v>
      </c>
      <c r="R43" s="43">
        <f t="shared" si="12"/>
        <v>-0.15489309979999999</v>
      </c>
      <c r="S43" s="44">
        <f t="shared" si="13"/>
        <v>500288.81959752738</v>
      </c>
    </row>
    <row r="44" spans="1:19" x14ac:dyDescent="0.25">
      <c r="A44" s="45" t="s">
        <v>52</v>
      </c>
      <c r="B44" s="45" t="s">
        <v>19</v>
      </c>
      <c r="C44" s="46">
        <v>4962756065</v>
      </c>
      <c r="D44" s="47" t="s">
        <v>10</v>
      </c>
      <c r="E44" s="48">
        <v>1000</v>
      </c>
      <c r="F44" s="49" t="s">
        <v>11</v>
      </c>
      <c r="G44" s="50">
        <f>2.5647179778+0.01137635</f>
        <v>2.5760943277999999</v>
      </c>
      <c r="H44" s="51" t="s">
        <v>12</v>
      </c>
      <c r="I44" s="52">
        <f t="shared" si="10"/>
        <v>12784527.749301549</v>
      </c>
      <c r="J44" s="53">
        <v>4510299436</v>
      </c>
      <c r="K44" s="55" t="s">
        <v>10</v>
      </c>
      <c r="L44" s="55">
        <v>1000</v>
      </c>
      <c r="M44" s="55" t="s">
        <v>11</v>
      </c>
      <c r="N44" s="56">
        <v>2.7016760926000001</v>
      </c>
      <c r="O44" s="54" t="s">
        <v>12</v>
      </c>
      <c r="P44" s="57">
        <v>12185368.156708464</v>
      </c>
      <c r="Q44" s="58">
        <f t="shared" si="11"/>
        <v>452456629</v>
      </c>
      <c r="R44" s="59">
        <f t="shared" si="12"/>
        <v>-0.12558176480000016</v>
      </c>
      <c r="S44" s="60">
        <f t="shared" si="13"/>
        <v>599159.59259308502</v>
      </c>
    </row>
    <row r="45" spans="1:19" x14ac:dyDescent="0.25">
      <c r="A45" s="45" t="s">
        <v>53</v>
      </c>
      <c r="B45" s="45" t="s">
        <v>19</v>
      </c>
      <c r="C45" s="46">
        <v>4962756065</v>
      </c>
      <c r="D45" s="47" t="s">
        <v>10</v>
      </c>
      <c r="E45" s="48">
        <v>1000</v>
      </c>
      <c r="F45" s="49" t="s">
        <v>11</v>
      </c>
      <c r="G45" s="50">
        <v>3.2731859674999999</v>
      </c>
      <c r="H45" s="51" t="s">
        <v>12</v>
      </c>
      <c r="I45" s="52">
        <f t="shared" si="10"/>
        <v>16244023.512083519</v>
      </c>
      <c r="J45" s="53">
        <v>4510299436</v>
      </c>
      <c r="K45" s="55" t="s">
        <v>10</v>
      </c>
      <c r="L45" s="55">
        <v>1000</v>
      </c>
      <c r="M45" s="55" t="s">
        <v>11</v>
      </c>
      <c r="N45" s="56">
        <v>2.7524532276999998</v>
      </c>
      <c r="O45" s="54" t="s">
        <v>12</v>
      </c>
      <c r="P45" s="57">
        <v>12414388.240511687</v>
      </c>
      <c r="Q45" s="58">
        <f t="shared" si="11"/>
        <v>452456629</v>
      </c>
      <c r="R45" s="59">
        <f t="shared" si="12"/>
        <v>0.52073273980000012</v>
      </c>
      <c r="S45" s="60">
        <f t="shared" si="13"/>
        <v>3829635.2715718318</v>
      </c>
    </row>
    <row r="46" spans="1:19" x14ac:dyDescent="0.25">
      <c r="A46" s="45" t="s">
        <v>54</v>
      </c>
      <c r="B46" s="45" t="s">
        <v>19</v>
      </c>
      <c r="C46" s="46">
        <v>4962756065</v>
      </c>
      <c r="D46" s="47" t="s">
        <v>10</v>
      </c>
      <c r="E46" s="48">
        <v>1000</v>
      </c>
      <c r="F46" s="49" t="s">
        <v>11</v>
      </c>
      <c r="G46" s="50">
        <v>0.27103967820000002</v>
      </c>
      <c r="H46" s="51" t="s">
        <v>12</v>
      </c>
      <c r="I46" s="52">
        <f t="shared" si="10"/>
        <v>1345103.8068426985</v>
      </c>
      <c r="J46" s="53">
        <v>4510299436</v>
      </c>
      <c r="K46" s="55" t="s">
        <v>10</v>
      </c>
      <c r="L46" s="55">
        <v>1000</v>
      </c>
      <c r="M46" s="55" t="s">
        <v>11</v>
      </c>
      <c r="N46" s="56">
        <v>0.2935079713</v>
      </c>
      <c r="O46" s="54" t="s">
        <v>12</v>
      </c>
      <c r="P46" s="57">
        <v>1323808.837415894</v>
      </c>
      <c r="Q46" s="58">
        <f t="shared" si="11"/>
        <v>452456629</v>
      </c>
      <c r="R46" s="59">
        <f t="shared" si="12"/>
        <v>-2.2468293099999981E-2</v>
      </c>
      <c r="S46" s="60">
        <f t="shared" si="13"/>
        <v>21294.969426804455</v>
      </c>
    </row>
    <row r="47" spans="1:19" x14ac:dyDescent="0.25">
      <c r="A47" s="29" t="s">
        <v>55</v>
      </c>
      <c r="B47" s="29" t="s">
        <v>19</v>
      </c>
      <c r="C47" s="30">
        <v>8175957070</v>
      </c>
      <c r="D47" s="31" t="s">
        <v>10</v>
      </c>
      <c r="E47" s="32">
        <v>1000</v>
      </c>
      <c r="F47" s="33" t="s">
        <v>11</v>
      </c>
      <c r="G47" s="34">
        <f>3.3061819015+0.0111410113</f>
        <v>3.3173229127999999</v>
      </c>
      <c r="H47" s="35" t="s">
        <v>12</v>
      </c>
      <c r="I47" s="36">
        <f t="shared" si="10"/>
        <v>27122289.722380154</v>
      </c>
      <c r="J47" s="37">
        <v>7108093284</v>
      </c>
      <c r="K47" s="39" t="s">
        <v>10</v>
      </c>
      <c r="L47" s="39">
        <v>1000</v>
      </c>
      <c r="M47" s="39" t="s">
        <v>11</v>
      </c>
      <c r="N47" s="40">
        <v>3.6701272488999996</v>
      </c>
      <c r="O47" s="38" t="s">
        <v>12</v>
      </c>
      <c r="P47" s="41">
        <v>26087606.849331483</v>
      </c>
      <c r="Q47" s="42">
        <f t="shared" si="11"/>
        <v>1067863786</v>
      </c>
      <c r="R47" s="43">
        <f t="shared" si="12"/>
        <v>-0.35280433609999973</v>
      </c>
      <c r="S47" s="44">
        <f t="shared" si="13"/>
        <v>1034682.8730486706</v>
      </c>
    </row>
    <row r="48" spans="1:19" x14ac:dyDescent="0.25">
      <c r="A48" s="29" t="s">
        <v>56</v>
      </c>
      <c r="B48" s="29" t="s">
        <v>19</v>
      </c>
      <c r="C48" s="30">
        <v>8175957070</v>
      </c>
      <c r="D48" s="31" t="s">
        <v>10</v>
      </c>
      <c r="E48" s="32">
        <v>1000</v>
      </c>
      <c r="F48" s="33" t="s">
        <v>11</v>
      </c>
      <c r="G48" s="34">
        <v>0.72794549009999998</v>
      </c>
      <c r="H48" s="35" t="s">
        <v>12</v>
      </c>
      <c r="I48" s="36">
        <f t="shared" si="10"/>
        <v>5951651.0763577102</v>
      </c>
      <c r="J48" s="37">
        <v>7108093284</v>
      </c>
      <c r="K48" s="39" t="s">
        <v>10</v>
      </c>
      <c r="L48" s="39">
        <v>1000</v>
      </c>
      <c r="M48" s="39" t="s">
        <v>11</v>
      </c>
      <c r="N48" s="40">
        <v>0.81167438810000003</v>
      </c>
      <c r="O48" s="38" t="s">
        <v>12</v>
      </c>
      <c r="P48" s="41">
        <v>5769457.2668484198</v>
      </c>
      <c r="Q48" s="42">
        <f t="shared" si="11"/>
        <v>1067863786</v>
      </c>
      <c r="R48" s="43">
        <f t="shared" si="12"/>
        <v>-8.3728898000000052E-2</v>
      </c>
      <c r="S48" s="44">
        <f t="shared" si="13"/>
        <v>182193.80950929038</v>
      </c>
    </row>
    <row r="49" spans="1:19" x14ac:dyDescent="0.25">
      <c r="A49" s="45" t="s">
        <v>57</v>
      </c>
      <c r="B49" s="45" t="s">
        <v>19</v>
      </c>
      <c r="C49" s="46">
        <v>2674386956</v>
      </c>
      <c r="D49" s="47" t="s">
        <v>10</v>
      </c>
      <c r="E49" s="48">
        <v>1000</v>
      </c>
      <c r="F49" s="49" t="s">
        <v>11</v>
      </c>
      <c r="G49" s="50">
        <f>2.1969460237+0.0125687833</f>
        <v>2.2095148069999997</v>
      </c>
      <c r="H49" s="51" t="s">
        <v>12</v>
      </c>
      <c r="I49" s="52">
        <f t="shared" si="10"/>
        <v>5909097.5789296562</v>
      </c>
      <c r="J49" s="53">
        <v>2301959004</v>
      </c>
      <c r="K49" s="55" t="s">
        <v>10</v>
      </c>
      <c r="L49" s="55">
        <v>1000</v>
      </c>
      <c r="M49" s="55" t="s">
        <v>11</v>
      </c>
      <c r="N49" s="56">
        <v>1.9767619673000001</v>
      </c>
      <c r="O49" s="54" t="s">
        <v>12</v>
      </c>
      <c r="P49" s="57">
        <v>4550425.0093909893</v>
      </c>
      <c r="Q49" s="58">
        <f t="shared" si="11"/>
        <v>372427952</v>
      </c>
      <c r="R49" s="59">
        <f t="shared" si="12"/>
        <v>0.2327528396999996</v>
      </c>
      <c r="S49" s="60">
        <f t="shared" si="13"/>
        <v>1358672.5695386669</v>
      </c>
    </row>
    <row r="50" spans="1:19" ht="15.75" thickBot="1" x14ac:dyDescent="0.3">
      <c r="A50" s="45" t="s">
        <v>58</v>
      </c>
      <c r="B50" s="45" t="s">
        <v>19</v>
      </c>
      <c r="C50" s="46">
        <v>2674386956</v>
      </c>
      <c r="D50" s="47" t="s">
        <v>10</v>
      </c>
      <c r="E50" s="48">
        <v>1000</v>
      </c>
      <c r="F50" s="49" t="s">
        <v>11</v>
      </c>
      <c r="G50" s="50">
        <v>1.1961595879</v>
      </c>
      <c r="H50" s="51" t="s">
        <v>12</v>
      </c>
      <c r="I50" s="52">
        <f t="shared" si="10"/>
        <v>3198993.5991740953</v>
      </c>
      <c r="J50" s="53">
        <v>2301959004</v>
      </c>
      <c r="K50" s="55" t="s">
        <v>10</v>
      </c>
      <c r="L50" s="55">
        <v>1000</v>
      </c>
      <c r="M50" s="55" t="s">
        <v>11</v>
      </c>
      <c r="N50" s="56">
        <v>1.4075497358</v>
      </c>
      <c r="O50" s="54" t="s">
        <v>12</v>
      </c>
      <c r="P50" s="57">
        <v>3240121.7879026313</v>
      </c>
      <c r="Q50" s="58">
        <f t="shared" si="11"/>
        <v>372427952</v>
      </c>
      <c r="R50" s="59">
        <f t="shared" si="12"/>
        <v>-0.21139014789999999</v>
      </c>
      <c r="S50" s="60">
        <f t="shared" si="13"/>
        <v>-41128.188728536014</v>
      </c>
    </row>
    <row r="51" spans="1:19" ht="15.75" thickBot="1" x14ac:dyDescent="0.3">
      <c r="A51" s="78" t="s">
        <v>59</v>
      </c>
      <c r="B51" s="79"/>
      <c r="C51" s="80"/>
      <c r="D51" s="81"/>
      <c r="E51" s="82"/>
      <c r="F51" s="83"/>
      <c r="G51" s="84"/>
      <c r="H51" s="85"/>
      <c r="I51" s="85"/>
      <c r="J51" s="80"/>
      <c r="K51" s="80"/>
      <c r="L51" s="80"/>
      <c r="M51" s="80"/>
      <c r="N51" s="80"/>
      <c r="O51" s="80"/>
      <c r="P51" s="80"/>
      <c r="Q51" s="86"/>
      <c r="R51" s="86"/>
      <c r="S51" s="87"/>
    </row>
    <row r="52" spans="1:19" x14ac:dyDescent="0.25">
      <c r="A52" s="45" t="s">
        <v>60</v>
      </c>
      <c r="B52" s="45" t="s">
        <v>9</v>
      </c>
      <c r="C52" s="46">
        <v>255186256</v>
      </c>
      <c r="D52" s="47" t="s">
        <v>10</v>
      </c>
      <c r="E52" s="48">
        <v>1000</v>
      </c>
      <c r="F52" s="49" t="s">
        <v>11</v>
      </c>
      <c r="G52" s="50">
        <v>0.63797797170000003</v>
      </c>
      <c r="H52" s="51" t="s">
        <v>12</v>
      </c>
      <c r="I52" s="52">
        <f t="shared" ref="I52:I64" si="14">C52/E52*G52</f>
        <v>162803.21000859697</v>
      </c>
      <c r="J52" s="53">
        <v>226634940</v>
      </c>
      <c r="K52" s="55" t="s">
        <v>10</v>
      </c>
      <c r="L52" s="55">
        <v>1000</v>
      </c>
      <c r="M52" s="55" t="s">
        <v>11</v>
      </c>
      <c r="N52" s="56">
        <v>0.69389216860000003</v>
      </c>
      <c r="O52" s="54" t="s">
        <v>12</v>
      </c>
      <c r="P52" s="57">
        <v>157260.20999713088</v>
      </c>
      <c r="Q52" s="58">
        <f t="shared" ref="Q52:Q64" si="15">C52-J52</f>
        <v>28551316</v>
      </c>
      <c r="R52" s="59">
        <f t="shared" ref="R52:R64" si="16">G52-N52</f>
        <v>-5.5914196899999991E-2</v>
      </c>
      <c r="S52" s="60">
        <f t="shared" ref="S52:S64" si="17">I52-P52</f>
        <v>5543.0000114660943</v>
      </c>
    </row>
    <row r="53" spans="1:19" x14ac:dyDescent="0.25">
      <c r="A53" s="29" t="s">
        <v>61</v>
      </c>
      <c r="B53" s="29" t="s">
        <v>9</v>
      </c>
      <c r="C53" s="30">
        <v>2573055841</v>
      </c>
      <c r="D53" s="31" t="s">
        <v>10</v>
      </c>
      <c r="E53" s="32">
        <v>1000</v>
      </c>
      <c r="F53" s="33" t="s">
        <v>11</v>
      </c>
      <c r="G53" s="34">
        <v>1.2886087574</v>
      </c>
      <c r="H53" s="35" t="s">
        <v>12</v>
      </c>
      <c r="I53" s="36">
        <f t="shared" si="14"/>
        <v>3315662.2899918221</v>
      </c>
      <c r="J53" s="37">
        <v>2263901084</v>
      </c>
      <c r="K53" s="39" t="s">
        <v>10</v>
      </c>
      <c r="L53" s="39">
        <v>1000</v>
      </c>
      <c r="M53" s="39" t="s">
        <v>11</v>
      </c>
      <c r="N53" s="40">
        <v>1.4179839492999999</v>
      </c>
      <c r="O53" s="38" t="s">
        <v>12</v>
      </c>
      <c r="P53" s="41">
        <v>3210175.3999148705</v>
      </c>
      <c r="Q53" s="42">
        <f t="shared" si="15"/>
        <v>309154757</v>
      </c>
      <c r="R53" s="43">
        <f t="shared" si="16"/>
        <v>-0.12937519189999991</v>
      </c>
      <c r="S53" s="44">
        <f t="shared" si="17"/>
        <v>105486.89007695159</v>
      </c>
    </row>
    <row r="54" spans="1:19" x14ac:dyDescent="0.25">
      <c r="A54" s="45" t="s">
        <v>62</v>
      </c>
      <c r="B54" s="45" t="s">
        <v>9</v>
      </c>
      <c r="C54" s="46">
        <v>8609188348</v>
      </c>
      <c r="D54" s="47" t="s">
        <v>10</v>
      </c>
      <c r="E54" s="48">
        <v>1000</v>
      </c>
      <c r="F54" s="49" t="s">
        <v>11</v>
      </c>
      <c r="G54" s="50">
        <v>1.2830841658000001</v>
      </c>
      <c r="H54" s="51" t="s">
        <v>12</v>
      </c>
      <c r="I54" s="52">
        <f t="shared" si="14"/>
        <v>11046313.24970866</v>
      </c>
      <c r="J54" s="53">
        <v>7622894842</v>
      </c>
      <c r="K54" s="55" t="s">
        <v>10</v>
      </c>
      <c r="L54" s="55">
        <v>1000</v>
      </c>
      <c r="M54" s="55" t="s">
        <v>11</v>
      </c>
      <c r="N54" s="56">
        <v>1.3941227565000001</v>
      </c>
      <c r="O54" s="54" t="s">
        <v>12</v>
      </c>
      <c r="P54" s="57">
        <v>10627251.169638673</v>
      </c>
      <c r="Q54" s="58">
        <f t="shared" si="15"/>
        <v>986293506</v>
      </c>
      <c r="R54" s="59">
        <f t="shared" si="16"/>
        <v>-0.11103859069999999</v>
      </c>
      <c r="S54" s="60">
        <f t="shared" si="17"/>
        <v>419062.0800699871</v>
      </c>
    </row>
    <row r="55" spans="1:19" x14ac:dyDescent="0.25">
      <c r="A55" s="29" t="s">
        <v>63</v>
      </c>
      <c r="B55" s="29" t="s">
        <v>9</v>
      </c>
      <c r="C55" s="30">
        <v>7637870198</v>
      </c>
      <c r="D55" s="31" t="s">
        <v>10</v>
      </c>
      <c r="E55" s="32">
        <v>1000</v>
      </c>
      <c r="F55" s="33" t="s">
        <v>11</v>
      </c>
      <c r="G55" s="34">
        <v>1.3821628892</v>
      </c>
      <c r="H55" s="35" t="s">
        <v>12</v>
      </c>
      <c r="I55" s="36">
        <f t="shared" si="14"/>
        <v>10556780.740202256</v>
      </c>
      <c r="J55" s="37">
        <v>6851309917</v>
      </c>
      <c r="K55" s="39" t="s">
        <v>10</v>
      </c>
      <c r="L55" s="39">
        <v>1000</v>
      </c>
      <c r="M55" s="39" t="s">
        <v>11</v>
      </c>
      <c r="N55" s="40">
        <v>1.4999999991999999</v>
      </c>
      <c r="O55" s="38" t="s">
        <v>12</v>
      </c>
      <c r="P55" s="41">
        <v>10276964.870018952</v>
      </c>
      <c r="Q55" s="42">
        <f t="shared" si="15"/>
        <v>786560281</v>
      </c>
      <c r="R55" s="43">
        <f t="shared" si="16"/>
        <v>-0.11783710999999997</v>
      </c>
      <c r="S55" s="44">
        <f t="shared" si="17"/>
        <v>279815.87018330395</v>
      </c>
    </row>
    <row r="56" spans="1:19" x14ac:dyDescent="0.25">
      <c r="A56" s="29" t="s">
        <v>64</v>
      </c>
      <c r="B56" s="29" t="s">
        <v>9</v>
      </c>
      <c r="C56" s="30">
        <v>7637870198</v>
      </c>
      <c r="D56" s="31" t="s">
        <v>10</v>
      </c>
      <c r="E56" s="32">
        <v>1000</v>
      </c>
      <c r="F56" s="33" t="s">
        <v>11</v>
      </c>
      <c r="G56" s="34">
        <v>0.45</v>
      </c>
      <c r="H56" s="35" t="s">
        <v>12</v>
      </c>
      <c r="I56" s="36">
        <f t="shared" si="14"/>
        <v>3437041.5891</v>
      </c>
      <c r="J56" s="37">
        <v>6851309917</v>
      </c>
      <c r="K56" s="39" t="s">
        <v>10</v>
      </c>
      <c r="L56" s="39">
        <v>1000</v>
      </c>
      <c r="M56" s="39" t="s">
        <v>11</v>
      </c>
      <c r="N56" s="40">
        <v>0.39601671980000003</v>
      </c>
      <c r="O56" s="38" t="s">
        <v>12</v>
      </c>
      <c r="P56" s="41">
        <v>2713233.2796635507</v>
      </c>
      <c r="Q56" s="42">
        <f t="shared" si="15"/>
        <v>786560281</v>
      </c>
      <c r="R56" s="43">
        <f t="shared" si="16"/>
        <v>5.3983280199999983E-2</v>
      </c>
      <c r="S56" s="44">
        <f t="shared" si="17"/>
        <v>723808.30943644932</v>
      </c>
    </row>
    <row r="57" spans="1:19" x14ac:dyDescent="0.25">
      <c r="A57" s="45" t="s">
        <v>65</v>
      </c>
      <c r="B57" s="45" t="s">
        <v>9</v>
      </c>
      <c r="C57" s="46">
        <v>1465585983</v>
      </c>
      <c r="D57" s="47" t="s">
        <v>10</v>
      </c>
      <c r="E57" s="48">
        <v>1000</v>
      </c>
      <c r="F57" s="49" t="s">
        <v>11</v>
      </c>
      <c r="G57" s="50">
        <f>1.3641860547+0.0012103418</f>
        <v>1.3653963965</v>
      </c>
      <c r="H57" s="51" t="s">
        <v>12</v>
      </c>
      <c r="I57" s="52">
        <f t="shared" si="14"/>
        <v>2001105.8199491103</v>
      </c>
      <c r="J57" s="53">
        <v>1322776609</v>
      </c>
      <c r="K57" s="55" t="s">
        <v>10</v>
      </c>
      <c r="L57" s="55">
        <v>1000</v>
      </c>
      <c r="M57" s="55" t="s">
        <v>11</v>
      </c>
      <c r="N57" s="56">
        <v>1.4753301402000001</v>
      </c>
      <c r="O57" s="54" t="s">
        <v>12</v>
      </c>
      <c r="P57" s="57">
        <v>1951532.2000092505</v>
      </c>
      <c r="Q57" s="58">
        <f t="shared" si="15"/>
        <v>142809374</v>
      </c>
      <c r="R57" s="59">
        <f t="shared" si="16"/>
        <v>-0.10993374370000009</v>
      </c>
      <c r="S57" s="60">
        <f t="shared" si="17"/>
        <v>49573.619939859724</v>
      </c>
    </row>
    <row r="58" spans="1:19" x14ac:dyDescent="0.25">
      <c r="A58" s="45" t="s">
        <v>66</v>
      </c>
      <c r="B58" s="45" t="s">
        <v>9</v>
      </c>
      <c r="C58" s="46">
        <v>1465585983</v>
      </c>
      <c r="D58" s="47" t="s">
        <v>10</v>
      </c>
      <c r="E58" s="48">
        <v>1000</v>
      </c>
      <c r="F58" s="49" t="s">
        <v>11</v>
      </c>
      <c r="G58" s="50">
        <v>0.29942725650000002</v>
      </c>
      <c r="H58" s="51" t="s">
        <v>12</v>
      </c>
      <c r="I58" s="52">
        <f t="shared" si="14"/>
        <v>438836.39005454566</v>
      </c>
      <c r="J58" s="53">
        <v>1322776609</v>
      </c>
      <c r="K58" s="55" t="s">
        <v>10</v>
      </c>
      <c r="L58" s="55">
        <v>1000</v>
      </c>
      <c r="M58" s="55" t="s">
        <v>11</v>
      </c>
      <c r="N58" s="56">
        <v>0.3237434931</v>
      </c>
      <c r="O58" s="54" t="s">
        <v>12</v>
      </c>
      <c r="P58" s="57">
        <v>428240.31998863287</v>
      </c>
      <c r="Q58" s="58">
        <f t="shared" si="15"/>
        <v>142809374</v>
      </c>
      <c r="R58" s="59">
        <f t="shared" si="16"/>
        <v>-2.4316236599999985E-2</v>
      </c>
      <c r="S58" s="60">
        <f t="shared" si="17"/>
        <v>10596.070065912791</v>
      </c>
    </row>
    <row r="59" spans="1:19" x14ac:dyDescent="0.25">
      <c r="A59" s="29" t="s">
        <v>67</v>
      </c>
      <c r="B59" s="29" t="s">
        <v>9</v>
      </c>
      <c r="C59" s="30">
        <v>999544546</v>
      </c>
      <c r="D59" s="31" t="s">
        <v>10</v>
      </c>
      <c r="E59" s="32">
        <v>1000</v>
      </c>
      <c r="F59" s="33" t="s">
        <v>11</v>
      </c>
      <c r="G59" s="34">
        <v>0.68313034449999999</v>
      </c>
      <c r="H59" s="35" t="s">
        <v>12</v>
      </c>
      <c r="I59" s="36">
        <f t="shared" si="14"/>
        <v>682819.21005207603</v>
      </c>
      <c r="J59" s="37">
        <v>875987060</v>
      </c>
      <c r="K59" s="39" t="s">
        <v>10</v>
      </c>
      <c r="L59" s="39">
        <v>1000</v>
      </c>
      <c r="M59" s="39" t="s">
        <v>11</v>
      </c>
      <c r="N59" s="40">
        <v>0.75689629479999998</v>
      </c>
      <c r="O59" s="38" t="s">
        <v>12</v>
      </c>
      <c r="P59" s="41">
        <v>663031.36000674532</v>
      </c>
      <c r="Q59" s="42">
        <f t="shared" si="15"/>
        <v>123557486</v>
      </c>
      <c r="R59" s="43">
        <f t="shared" si="16"/>
        <v>-7.3765950299999994E-2</v>
      </c>
      <c r="S59" s="44">
        <f t="shared" si="17"/>
        <v>19787.850045330706</v>
      </c>
    </row>
    <row r="60" spans="1:19" x14ac:dyDescent="0.25">
      <c r="A60" s="45" t="s">
        <v>68</v>
      </c>
      <c r="B60" s="45" t="s">
        <v>9</v>
      </c>
      <c r="C60" s="46">
        <v>4351106846</v>
      </c>
      <c r="D60" s="47" t="s">
        <v>10</v>
      </c>
      <c r="E60" s="48">
        <v>1000</v>
      </c>
      <c r="F60" s="49" t="s">
        <v>11</v>
      </c>
      <c r="G60" s="50">
        <v>1.4114436113</v>
      </c>
      <c r="H60" s="51" t="s">
        <v>12</v>
      </c>
      <c r="I60" s="52">
        <f t="shared" si="14"/>
        <v>6141341.9598703925</v>
      </c>
      <c r="J60" s="53">
        <v>3803288392</v>
      </c>
      <c r="K60" s="55" t="s">
        <v>10</v>
      </c>
      <c r="L60" s="55">
        <v>1000</v>
      </c>
      <c r="M60" s="55" t="s">
        <v>11</v>
      </c>
      <c r="N60" s="56">
        <v>1.5</v>
      </c>
      <c r="O60" s="54" t="s">
        <v>12</v>
      </c>
      <c r="P60" s="57">
        <v>5704932.5879999995</v>
      </c>
      <c r="Q60" s="58">
        <f t="shared" si="15"/>
        <v>547818454</v>
      </c>
      <c r="R60" s="59">
        <f t="shared" si="16"/>
        <v>-8.8556388700000044E-2</v>
      </c>
      <c r="S60" s="60">
        <f t="shared" si="17"/>
        <v>436409.37187039293</v>
      </c>
    </row>
    <row r="61" spans="1:19" x14ac:dyDescent="0.25">
      <c r="A61" s="29" t="s">
        <v>69</v>
      </c>
      <c r="B61" s="29" t="s">
        <v>19</v>
      </c>
      <c r="C61" s="30">
        <v>2277586499</v>
      </c>
      <c r="D61" s="31" t="s">
        <v>10</v>
      </c>
      <c r="E61" s="32">
        <v>1000</v>
      </c>
      <c r="F61" s="33" t="s">
        <v>11</v>
      </c>
      <c r="G61" s="34">
        <v>0.13023189030000001</v>
      </c>
      <c r="H61" s="35" t="s">
        <v>12</v>
      </c>
      <c r="I61" s="36">
        <f t="shared" si="14"/>
        <v>296614.39508652908</v>
      </c>
      <c r="J61" s="37">
        <v>1969836490</v>
      </c>
      <c r="K61" s="39" t="s">
        <v>10</v>
      </c>
      <c r="L61" s="39">
        <v>1000</v>
      </c>
      <c r="M61" s="39" t="s">
        <v>11</v>
      </c>
      <c r="N61" s="40">
        <v>0.14614056750000001</v>
      </c>
      <c r="O61" s="38" t="s">
        <v>12</v>
      </c>
      <c r="P61" s="41">
        <v>287873.02253080811</v>
      </c>
      <c r="Q61" s="42">
        <f t="shared" si="15"/>
        <v>307750009</v>
      </c>
      <c r="R61" s="43">
        <f t="shared" si="16"/>
        <v>-1.5908677199999999E-2</v>
      </c>
      <c r="S61" s="44">
        <f t="shared" si="17"/>
        <v>8741.3725557209691</v>
      </c>
    </row>
    <row r="62" spans="1:19" x14ac:dyDescent="0.25">
      <c r="A62" s="45" t="s">
        <v>70</v>
      </c>
      <c r="B62" s="45" t="s">
        <v>9</v>
      </c>
      <c r="C62" s="46">
        <v>340330524</v>
      </c>
      <c r="D62" s="47" t="s">
        <v>10</v>
      </c>
      <c r="E62" s="48">
        <v>1000</v>
      </c>
      <c r="F62" s="49" t="s">
        <v>11</v>
      </c>
      <c r="G62" s="50">
        <v>0.90861241709999996</v>
      </c>
      <c r="H62" s="51" t="s">
        <v>12</v>
      </c>
      <c r="I62" s="52">
        <f t="shared" si="14"/>
        <v>309228.54002454953</v>
      </c>
      <c r="J62" s="53">
        <v>294453608</v>
      </c>
      <c r="K62" s="55" t="s">
        <v>10</v>
      </c>
      <c r="L62" s="55">
        <v>1000</v>
      </c>
      <c r="M62" s="55" t="s">
        <v>11</v>
      </c>
      <c r="N62" s="56">
        <v>0.98213094400000001</v>
      </c>
      <c r="O62" s="54" t="s">
        <v>12</v>
      </c>
      <c r="P62" s="57">
        <v>289191.99998924596</v>
      </c>
      <c r="Q62" s="58">
        <f t="shared" si="15"/>
        <v>45876916</v>
      </c>
      <c r="R62" s="59">
        <f t="shared" si="16"/>
        <v>-7.3518526900000047E-2</v>
      </c>
      <c r="S62" s="60">
        <f t="shared" si="17"/>
        <v>20036.540035303566</v>
      </c>
    </row>
    <row r="63" spans="1:19" ht="15.75" thickBot="1" x14ac:dyDescent="0.3">
      <c r="A63" s="29" t="s">
        <v>71</v>
      </c>
      <c r="B63" s="29" t="s">
        <v>9</v>
      </c>
      <c r="C63" s="30">
        <v>1485139761</v>
      </c>
      <c r="D63" s="31" t="s">
        <v>10</v>
      </c>
      <c r="E63" s="32">
        <v>1000</v>
      </c>
      <c r="F63" s="33" t="s">
        <v>11</v>
      </c>
      <c r="G63" s="34">
        <v>0.43165763709999999</v>
      </c>
      <c r="H63" s="35" t="s">
        <v>12</v>
      </c>
      <c r="I63" s="36">
        <f t="shared" si="14"/>
        <v>641071.91999651864</v>
      </c>
      <c r="J63" s="37">
        <v>1295518592</v>
      </c>
      <c r="K63" s="39" t="s">
        <v>10</v>
      </c>
      <c r="L63" s="39">
        <v>1000</v>
      </c>
      <c r="M63" s="39" t="s">
        <v>11</v>
      </c>
      <c r="N63" s="40">
        <v>0.4894590351</v>
      </c>
      <c r="O63" s="38" t="s">
        <v>12</v>
      </c>
      <c r="P63" s="41">
        <v>634103.2799944306</v>
      </c>
      <c r="Q63" s="42">
        <f t="shared" si="15"/>
        <v>189621169</v>
      </c>
      <c r="R63" s="43">
        <f t="shared" si="16"/>
        <v>-5.7801398000000004E-2</v>
      </c>
      <c r="S63" s="44">
        <f t="shared" si="17"/>
        <v>6968.6400020880392</v>
      </c>
    </row>
    <row r="64" spans="1:19" ht="15.75" hidden="1" thickBot="1" x14ac:dyDescent="0.3">
      <c r="A64" s="118" t="s">
        <v>88</v>
      </c>
      <c r="B64" s="118" t="s">
        <v>19</v>
      </c>
      <c r="C64" s="30"/>
      <c r="D64" s="31" t="s">
        <v>10</v>
      </c>
      <c r="E64" s="32">
        <v>1000</v>
      </c>
      <c r="F64" s="33" t="s">
        <v>11</v>
      </c>
      <c r="G64" s="34"/>
      <c r="H64" s="35" t="s">
        <v>12</v>
      </c>
      <c r="I64" s="36">
        <f t="shared" si="14"/>
        <v>0</v>
      </c>
      <c r="J64" s="37">
        <v>1281206021</v>
      </c>
      <c r="K64" s="39" t="s">
        <v>10</v>
      </c>
      <c r="L64" s="39">
        <v>1000</v>
      </c>
      <c r="M64" s="39" t="s">
        <v>11</v>
      </c>
      <c r="N64" s="40">
        <v>0</v>
      </c>
      <c r="O64" s="38" t="s">
        <v>12</v>
      </c>
      <c r="P64" s="41">
        <v>0</v>
      </c>
      <c r="Q64" s="42">
        <f t="shared" si="15"/>
        <v>-1281206021</v>
      </c>
      <c r="R64" s="43">
        <f t="shared" si="16"/>
        <v>0</v>
      </c>
      <c r="S64" s="44">
        <f t="shared" si="17"/>
        <v>0</v>
      </c>
    </row>
    <row r="65" spans="1:19" ht="15.75" thickBot="1" x14ac:dyDescent="0.3">
      <c r="A65" s="78" t="s">
        <v>72</v>
      </c>
      <c r="B65" s="79"/>
      <c r="C65" s="80"/>
      <c r="D65" s="81"/>
      <c r="E65" s="82"/>
      <c r="F65" s="83"/>
      <c r="G65" s="84"/>
      <c r="H65" s="85"/>
      <c r="I65" s="85"/>
      <c r="J65" s="80"/>
      <c r="K65" s="80"/>
      <c r="L65" s="80"/>
      <c r="M65" s="80"/>
      <c r="N65" s="80"/>
      <c r="O65" s="80"/>
      <c r="P65" s="80"/>
      <c r="Q65" s="86"/>
      <c r="R65" s="86"/>
      <c r="S65" s="87"/>
    </row>
    <row r="66" spans="1:19" x14ac:dyDescent="0.25">
      <c r="A66" s="45" t="s">
        <v>73</v>
      </c>
      <c r="B66" s="45" t="s">
        <v>9</v>
      </c>
      <c r="C66" s="90">
        <v>979704714</v>
      </c>
      <c r="D66" s="91" t="s">
        <v>10</v>
      </c>
      <c r="E66" s="92">
        <v>1000</v>
      </c>
      <c r="F66" s="93" t="s">
        <v>11</v>
      </c>
      <c r="G66" s="94">
        <v>1.8228911E-2</v>
      </c>
      <c r="H66" s="95" t="s">
        <v>12</v>
      </c>
      <c r="I66" s="96">
        <f>C66/E66*G66</f>
        <v>17858.950037786453</v>
      </c>
      <c r="J66" s="97">
        <v>860240328</v>
      </c>
      <c r="K66" s="98" t="s">
        <v>10</v>
      </c>
      <c r="L66" s="98">
        <v>1000</v>
      </c>
      <c r="M66" s="98" t="s">
        <v>11</v>
      </c>
      <c r="N66" s="99">
        <v>1.9870900600000001E-2</v>
      </c>
      <c r="O66" s="100" t="s">
        <v>12</v>
      </c>
      <c r="P66" s="101">
        <v>17093.750049799397</v>
      </c>
      <c r="Q66" s="102">
        <f>C66-J66</f>
        <v>119464386</v>
      </c>
      <c r="R66" s="103">
        <f>G66-N66</f>
        <v>-1.641989600000001E-3</v>
      </c>
      <c r="S66" s="104">
        <f>I66-P66</f>
        <v>765.19998798705637</v>
      </c>
    </row>
    <row r="67" spans="1:19" x14ac:dyDescent="0.25">
      <c r="A67" s="29" t="s">
        <v>74</v>
      </c>
      <c r="B67" s="29" t="s">
        <v>9</v>
      </c>
      <c r="C67" s="30">
        <v>619303744</v>
      </c>
      <c r="D67" s="31" t="s">
        <v>10</v>
      </c>
      <c r="E67" s="32">
        <v>1000</v>
      </c>
      <c r="F67" s="33" t="s">
        <v>11</v>
      </c>
      <c r="G67" s="34">
        <v>7.9345233200000004E-2</v>
      </c>
      <c r="H67" s="35" t="s">
        <v>12</v>
      </c>
      <c r="I67" s="36">
        <f>C67/E67*G67</f>
        <v>49138.799989313098</v>
      </c>
      <c r="J67" s="37">
        <v>534954736</v>
      </c>
      <c r="K67" s="39" t="s">
        <v>10</v>
      </c>
      <c r="L67" s="39">
        <v>1000</v>
      </c>
      <c r="M67" s="39" t="s">
        <v>11</v>
      </c>
      <c r="N67" s="105">
        <v>8.9249943600000006E-2</v>
      </c>
      <c r="O67" s="38" t="s">
        <v>12</v>
      </c>
      <c r="P67" s="41">
        <v>47744.680016552898</v>
      </c>
      <c r="Q67" s="42">
        <f>C67-J67</f>
        <v>84349008</v>
      </c>
      <c r="R67" s="43">
        <f>G67-N67</f>
        <v>-9.9047104000000025E-3</v>
      </c>
      <c r="S67" s="44">
        <f>I67-P67</f>
        <v>1394.1199727601997</v>
      </c>
    </row>
    <row r="68" spans="1:19" x14ac:dyDescent="0.25">
      <c r="A68" s="45" t="s">
        <v>75</v>
      </c>
      <c r="B68" s="45" t="s">
        <v>9</v>
      </c>
      <c r="C68" s="46">
        <v>260800950</v>
      </c>
      <c r="D68" s="47" t="s">
        <v>10</v>
      </c>
      <c r="E68" s="48">
        <v>1000</v>
      </c>
      <c r="F68" s="49" t="s">
        <v>11</v>
      </c>
      <c r="G68" s="50">
        <v>9.2809094499999994E-2</v>
      </c>
      <c r="H68" s="51" t="s">
        <v>12</v>
      </c>
      <c r="I68" s="52">
        <f>C68/E68*G68</f>
        <v>24204.700014239774</v>
      </c>
      <c r="J68" s="53">
        <v>245844968</v>
      </c>
      <c r="K68" s="55" t="s">
        <v>10</v>
      </c>
      <c r="L68" s="55">
        <v>1000</v>
      </c>
      <c r="M68" s="55" t="s">
        <v>11</v>
      </c>
      <c r="N68" s="106">
        <v>9.6604499199999999E-2</v>
      </c>
      <c r="O68" s="54" t="s">
        <v>12</v>
      </c>
      <c r="P68" s="57">
        <v>23749.730014480025</v>
      </c>
      <c r="Q68" s="58">
        <f>C68-J68</f>
        <v>14955982</v>
      </c>
      <c r="R68" s="59">
        <f>G68-N68</f>
        <v>-3.7954047000000046E-3</v>
      </c>
      <c r="S68" s="60">
        <f>I68-P68</f>
        <v>454.96999975974904</v>
      </c>
    </row>
    <row r="69" spans="1:19" ht="15.75" thickBot="1" x14ac:dyDescent="0.3">
      <c r="A69" s="29" t="s">
        <v>76</v>
      </c>
      <c r="B69" s="29" t="s">
        <v>9</v>
      </c>
      <c r="C69" s="30">
        <v>3460170740</v>
      </c>
      <c r="D69" s="31" t="s">
        <v>10</v>
      </c>
      <c r="E69" s="32">
        <v>1000</v>
      </c>
      <c r="F69" s="33" t="s">
        <v>11</v>
      </c>
      <c r="G69" s="34">
        <v>3.1804170499999999E-2</v>
      </c>
      <c r="H69" s="35" t="s">
        <v>12</v>
      </c>
      <c r="I69" s="36">
        <f>C69/E69*G69</f>
        <v>110047.86017407117</v>
      </c>
      <c r="J69" s="37">
        <v>3067764443</v>
      </c>
      <c r="K69" s="39" t="s">
        <v>10</v>
      </c>
      <c r="L69" s="39">
        <v>1000</v>
      </c>
      <c r="M69" s="39" t="s">
        <v>11</v>
      </c>
      <c r="N69" s="105">
        <v>3.4998834499999999E-2</v>
      </c>
      <c r="O69" s="38" t="s">
        <v>12</v>
      </c>
      <c r="P69" s="41">
        <v>107368.18002554167</v>
      </c>
      <c r="Q69" s="42">
        <f>C69-J69</f>
        <v>392406297</v>
      </c>
      <c r="R69" s="43">
        <f>G69-N69</f>
        <v>-3.1946639999999998E-3</v>
      </c>
      <c r="S69" s="44">
        <f>I69-P69</f>
        <v>2679.6801485295</v>
      </c>
    </row>
    <row r="70" spans="1:19" ht="15.75" thickBot="1" x14ac:dyDescent="0.3">
      <c r="A70" s="78" t="s">
        <v>77</v>
      </c>
      <c r="B70" s="79"/>
      <c r="C70" s="80"/>
      <c r="D70" s="81"/>
      <c r="E70" s="82"/>
      <c r="F70" s="83"/>
      <c r="G70" s="84"/>
      <c r="H70" s="85"/>
      <c r="I70" s="85"/>
      <c r="J70" s="80"/>
      <c r="K70" s="80"/>
      <c r="L70" s="80"/>
      <c r="M70" s="80"/>
      <c r="N70" s="80"/>
      <c r="O70" s="80"/>
      <c r="P70" s="80"/>
      <c r="Q70" s="86"/>
      <c r="R70" s="86"/>
      <c r="S70" s="87"/>
    </row>
    <row r="71" spans="1:19" x14ac:dyDescent="0.25">
      <c r="A71" s="107" t="s">
        <v>78</v>
      </c>
      <c r="B71" s="89" t="s">
        <v>9</v>
      </c>
      <c r="C71" s="90">
        <v>6522831299</v>
      </c>
      <c r="D71" s="108" t="s">
        <v>10</v>
      </c>
      <c r="E71" s="109">
        <v>1000</v>
      </c>
      <c r="F71" s="110" t="s">
        <v>11</v>
      </c>
      <c r="G71" s="94">
        <v>0.19942060589999999</v>
      </c>
      <c r="H71" s="95" t="s">
        <v>12</v>
      </c>
      <c r="I71" s="96">
        <f>C71/E71*G71</f>
        <v>1300786.9698300639</v>
      </c>
      <c r="J71" s="97">
        <v>5857848862</v>
      </c>
      <c r="K71" s="98" t="s">
        <v>10</v>
      </c>
      <c r="L71" s="98">
        <v>1000</v>
      </c>
      <c r="M71" s="98" t="s">
        <v>11</v>
      </c>
      <c r="N71" s="99">
        <v>0.19145323929999999</v>
      </c>
      <c r="O71" s="100" t="s">
        <v>12</v>
      </c>
      <c r="P71" s="101">
        <v>1121504.1399597186</v>
      </c>
      <c r="Q71" s="102">
        <f>C71-J71</f>
        <v>664982437</v>
      </c>
      <c r="R71" s="103">
        <f>G71-N71</f>
        <v>7.9673665999999976E-3</v>
      </c>
      <c r="S71" s="104">
        <f>I71-P71</f>
        <v>179282.8298703453</v>
      </c>
    </row>
    <row r="72" spans="1:19" x14ac:dyDescent="0.25">
      <c r="A72" s="45" t="s">
        <v>79</v>
      </c>
      <c r="B72" s="12" t="s">
        <v>9</v>
      </c>
      <c r="C72" s="13">
        <v>6522831299</v>
      </c>
      <c r="D72" s="47" t="s">
        <v>10</v>
      </c>
      <c r="E72" s="48">
        <v>1000</v>
      </c>
      <c r="F72" s="49" t="s">
        <v>11</v>
      </c>
      <c r="G72" s="17">
        <v>0.16863842549999999</v>
      </c>
      <c r="H72" s="51" t="s">
        <v>12</v>
      </c>
      <c r="I72" s="52">
        <f>C72/E72*G72</f>
        <v>1100000.0000654797</v>
      </c>
      <c r="J72" s="20">
        <v>5857848862</v>
      </c>
      <c r="K72" s="55" t="s">
        <v>10</v>
      </c>
      <c r="L72" s="55">
        <v>1000</v>
      </c>
      <c r="M72" s="55" t="s">
        <v>11</v>
      </c>
      <c r="N72" s="111">
        <v>0.20485335630000001</v>
      </c>
      <c r="O72" s="54" t="s">
        <v>12</v>
      </c>
      <c r="P72" s="57">
        <v>1200000.0000788355</v>
      </c>
      <c r="Q72" s="58">
        <f>C72-J72</f>
        <v>664982437</v>
      </c>
      <c r="R72" s="59">
        <f>G72-N72</f>
        <v>-3.6214930800000017E-2</v>
      </c>
      <c r="S72" s="60">
        <f>I72-P72</f>
        <v>-100000.00001335586</v>
      </c>
    </row>
    <row r="73" spans="1:19" x14ac:dyDescent="0.25">
      <c r="A73" s="29" t="s">
        <v>80</v>
      </c>
      <c r="B73" s="29" t="s">
        <v>9</v>
      </c>
      <c r="C73" s="30">
        <v>2693898438</v>
      </c>
      <c r="D73" s="31" t="s">
        <v>10</v>
      </c>
      <c r="E73" s="32">
        <v>1000</v>
      </c>
      <c r="F73" s="33" t="s">
        <v>11</v>
      </c>
      <c r="G73" s="34">
        <f>0.1978275248+0.0007334983</f>
        <v>0.19856102309999998</v>
      </c>
      <c r="H73" s="35" t="s">
        <v>12</v>
      </c>
      <c r="I73" s="36">
        <f>C73/E73*G73</f>
        <v>534903.22997677187</v>
      </c>
      <c r="J73" s="37">
        <v>2317612350</v>
      </c>
      <c r="K73" s="39" t="s">
        <v>10</v>
      </c>
      <c r="L73" s="39">
        <v>1000</v>
      </c>
      <c r="M73" s="39" t="s">
        <v>11</v>
      </c>
      <c r="N73" s="105">
        <v>0.21711292660000001</v>
      </c>
      <c r="O73" s="38" t="s">
        <v>12</v>
      </c>
      <c r="P73" s="41">
        <v>503183.60003280354</v>
      </c>
      <c r="Q73" s="42">
        <f>C73-J73</f>
        <v>376286088</v>
      </c>
      <c r="R73" s="43">
        <f>G73-N73</f>
        <v>-1.8551903500000022E-2</v>
      </c>
      <c r="S73" s="44">
        <f>I73-P73</f>
        <v>31719.629943968321</v>
      </c>
    </row>
    <row r="74" spans="1:19" x14ac:dyDescent="0.25">
      <c r="A74" s="45" t="s">
        <v>81</v>
      </c>
      <c r="B74" s="45" t="s">
        <v>9</v>
      </c>
      <c r="C74" s="46">
        <v>33079223893</v>
      </c>
      <c r="D74" s="47" t="s">
        <v>10</v>
      </c>
      <c r="E74" s="48">
        <v>1000</v>
      </c>
      <c r="F74" s="49" t="s">
        <v>11</v>
      </c>
      <c r="G74" s="50">
        <v>0.12908987869999999</v>
      </c>
      <c r="H74" s="51" t="s">
        <v>12</v>
      </c>
      <c r="I74" s="52">
        <f>C74/E74*G74</f>
        <v>4270192.9998375112</v>
      </c>
      <c r="J74" s="53">
        <v>29713687363</v>
      </c>
      <c r="K74" s="55" t="s">
        <v>10</v>
      </c>
      <c r="L74" s="55">
        <v>1000</v>
      </c>
      <c r="M74" s="55" t="s">
        <v>11</v>
      </c>
      <c r="N74" s="106">
        <v>0.14384071379999999</v>
      </c>
      <c r="O74" s="54" t="s">
        <v>12</v>
      </c>
      <c r="P74" s="57">
        <v>4274037.9999239594</v>
      </c>
      <c r="Q74" s="58">
        <f>C74-J74</f>
        <v>3365536530</v>
      </c>
      <c r="R74" s="59">
        <f>G74-N74</f>
        <v>-1.4750835099999998E-2</v>
      </c>
      <c r="S74" s="60">
        <f>I74-P74</f>
        <v>-3845.0000864481553</v>
      </c>
    </row>
    <row r="75" spans="1:19" x14ac:dyDescent="0.25">
      <c r="A75" s="45" t="s">
        <v>82</v>
      </c>
      <c r="B75" s="45" t="s">
        <v>9</v>
      </c>
      <c r="C75" s="46">
        <v>33079223893</v>
      </c>
      <c r="D75" s="47" t="s">
        <v>10</v>
      </c>
      <c r="E75" s="48">
        <v>1000</v>
      </c>
      <c r="F75" s="49" t="s">
        <v>11</v>
      </c>
      <c r="G75" s="50">
        <v>0.17281738590000001</v>
      </c>
      <c r="H75" s="51" t="s">
        <v>12</v>
      </c>
      <c r="I75" s="52">
        <f>C75/E75*G75</f>
        <v>5716665.0007890817</v>
      </c>
      <c r="J75" s="53">
        <v>29713687363</v>
      </c>
      <c r="K75" s="55" t="s">
        <v>10</v>
      </c>
      <c r="L75" s="55">
        <v>1000</v>
      </c>
      <c r="M75" s="55" t="s">
        <v>11</v>
      </c>
      <c r="N75" s="106">
        <v>0.19226223689999999</v>
      </c>
      <c r="O75" s="54" t="s">
        <v>12</v>
      </c>
      <c r="P75" s="57">
        <v>5712819.9989576424</v>
      </c>
      <c r="Q75" s="58">
        <f>C75-J75</f>
        <v>3365536530</v>
      </c>
      <c r="R75" s="59">
        <f>G75-N75</f>
        <v>-1.9444850999999985E-2</v>
      </c>
      <c r="S75" s="60">
        <f>I75-P75</f>
        <v>3845.0018314393237</v>
      </c>
    </row>
    <row r="76" spans="1:19" x14ac:dyDescent="0.25">
      <c r="C76" s="112"/>
      <c r="E76" s="113"/>
      <c r="G76" s="114"/>
      <c r="I76" s="115"/>
      <c r="P76" s="115"/>
      <c r="Q76" s="116"/>
      <c r="R76" s="117"/>
      <c r="S76" s="115"/>
    </row>
    <row r="77" spans="1:19" x14ac:dyDescent="0.25">
      <c r="G77" s="114"/>
      <c r="I77" s="115"/>
      <c r="P77" s="115"/>
      <c r="S77" s="115"/>
    </row>
    <row r="78" spans="1:19" x14ac:dyDescent="0.25">
      <c r="G78" s="114"/>
      <c r="I78" s="115"/>
      <c r="P78" s="115"/>
      <c r="S78" s="115"/>
    </row>
  </sheetData>
  <printOptions horizontalCentered="1" gridLines="1"/>
  <pageMargins left="0.5" right="0.5" top="0.5" bottom="1" header="0.3" footer="0.3"/>
  <pageSetup paperSize="5" scale="82" fitToHeight="0" orientation="landscape" r:id="rId1"/>
  <headerFooter>
    <oddHeader>&amp;C&amp;"-,Bold"&amp;14Comparison by Levy Report</oddHeader>
    <oddFooter>&amp;L&amp;"-,Bold"Legend&amp;"-,Regular":
AV =  Taxable Assessed Value
GF = General Fund
M+O&amp;O = Maintenance + Operations&amp;CPage &amp;P of &amp;N&amp;RNote: Administrative  Refund Levies are bundled with their parent levy.
Note: Figures do not include Timber Assessed Value.</oddFooter>
  </headerFooter>
  <rowBreaks count="2" manualBreakCount="2">
    <brk id="23" max="16383" man="1"/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8"/>
  <sheetViews>
    <sheetView zoomScale="85" zoomScaleNormal="85" workbookViewId="0">
      <selection activeCell="G25" sqref="G25"/>
    </sheetView>
  </sheetViews>
  <sheetFormatPr defaultRowHeight="15" x14ac:dyDescent="0.25"/>
  <cols>
    <col min="1" max="1" width="25.28515625" style="28" customWidth="1"/>
    <col min="2" max="2" width="7.7109375" style="28" bestFit="1" customWidth="1"/>
    <col min="3" max="3" width="13.85546875" style="28" bestFit="1" customWidth="1"/>
    <col min="4" max="4" width="3.7109375" style="113" customWidth="1"/>
    <col min="5" max="5" width="9.140625" style="28"/>
    <col min="6" max="6" width="3.7109375" style="113" customWidth="1"/>
    <col min="7" max="7" width="12.5703125" style="28" bestFit="1" customWidth="1"/>
    <col min="8" max="8" width="3.7109375" style="113" customWidth="1"/>
    <col min="9" max="9" width="15.5703125" style="28" customWidth="1"/>
    <col min="10" max="10" width="13.85546875" style="28" customWidth="1"/>
    <col min="11" max="11" width="3.7109375" style="113" customWidth="1"/>
    <col min="12" max="12" width="9.140625" style="28"/>
    <col min="13" max="13" width="3.7109375" style="113" customWidth="1"/>
    <col min="14" max="14" width="12.5703125" style="28" customWidth="1"/>
    <col min="15" max="15" width="3.7109375" style="113" customWidth="1"/>
    <col min="16" max="16" width="15.28515625" style="28" bestFit="1" customWidth="1"/>
    <col min="17" max="17" width="13.5703125" style="28" bestFit="1" customWidth="1"/>
    <col min="18" max="18" width="14.140625" style="28" bestFit="1" customWidth="1"/>
    <col min="19" max="19" width="15" style="28" bestFit="1" customWidth="1"/>
    <col min="20" max="16384" width="9.140625" style="28"/>
  </cols>
  <sheetData>
    <row r="1" spans="1:19" s="11" customFormat="1" ht="30.75" thickBot="1" x14ac:dyDescent="0.3">
      <c r="A1" s="1" t="s">
        <v>0</v>
      </c>
      <c r="B1" s="2" t="s">
        <v>1</v>
      </c>
      <c r="C1" s="3" t="s">
        <v>83</v>
      </c>
      <c r="D1" s="4"/>
      <c r="E1" s="5" t="s">
        <v>3</v>
      </c>
      <c r="F1" s="4"/>
      <c r="G1" s="3" t="s">
        <v>84</v>
      </c>
      <c r="H1" s="6"/>
      <c r="I1" s="3" t="s">
        <v>5</v>
      </c>
      <c r="J1" s="7" t="s">
        <v>83</v>
      </c>
      <c r="K1" s="7"/>
      <c r="L1" s="8" t="s">
        <v>3</v>
      </c>
      <c r="M1" s="7"/>
      <c r="N1" s="7" t="s">
        <v>84</v>
      </c>
      <c r="O1" s="9"/>
      <c r="P1" s="7" t="s">
        <v>5</v>
      </c>
      <c r="Q1" s="2" t="s">
        <v>6</v>
      </c>
      <c r="R1" s="2" t="s">
        <v>7</v>
      </c>
      <c r="S1" s="10" t="s">
        <v>5</v>
      </c>
    </row>
    <row r="2" spans="1:19" x14ac:dyDescent="0.25">
      <c r="A2" s="12" t="s">
        <v>8</v>
      </c>
      <c r="B2" s="12" t="s">
        <v>9</v>
      </c>
      <c r="C2" s="13">
        <v>46633240253</v>
      </c>
      <c r="D2" s="14" t="s">
        <v>10</v>
      </c>
      <c r="E2" s="15">
        <v>1000</v>
      </c>
      <c r="F2" s="16" t="s">
        <v>11</v>
      </c>
      <c r="G2" s="17">
        <v>2.0780111456000001</v>
      </c>
      <c r="H2" s="18" t="s">
        <v>12</v>
      </c>
      <c r="I2" s="19">
        <f t="shared" ref="I2:I8" si="0">C2/E2*G2</f>
        <v>96904393.001176566</v>
      </c>
      <c r="J2" s="20">
        <v>43279862385</v>
      </c>
      <c r="K2" s="21" t="s">
        <v>10</v>
      </c>
      <c r="L2" s="22">
        <v>1000</v>
      </c>
      <c r="M2" s="22" t="s">
        <v>11</v>
      </c>
      <c r="N2" s="23">
        <v>2.2244392586999999</v>
      </c>
      <c r="O2" s="21" t="s">
        <v>12</v>
      </c>
      <c r="P2" s="24">
        <f t="shared" ref="P2:P8" si="1">J2/L2*N2</f>
        <v>96273425.000327408</v>
      </c>
      <c r="Q2" s="25">
        <f t="shared" ref="Q2:Q8" si="2">C2-J2</f>
        <v>3353377868</v>
      </c>
      <c r="R2" s="26">
        <f t="shared" ref="R2:R8" si="3">G2-N2</f>
        <v>-0.14642811309999981</v>
      </c>
      <c r="S2" s="27">
        <f t="shared" ref="S2:S8" si="4">I2-P2</f>
        <v>630968.00084915757</v>
      </c>
    </row>
    <row r="3" spans="1:19" x14ac:dyDescent="0.25">
      <c r="A3" s="29" t="s">
        <v>13</v>
      </c>
      <c r="B3" s="29" t="s">
        <v>9</v>
      </c>
      <c r="C3" s="30">
        <v>46637770833</v>
      </c>
      <c r="D3" s="31" t="s">
        <v>10</v>
      </c>
      <c r="E3" s="32">
        <v>1000</v>
      </c>
      <c r="F3" s="33" t="s">
        <v>11</v>
      </c>
      <c r="G3" s="34">
        <v>1.2752323713</v>
      </c>
      <c r="H3" s="35" t="s">
        <v>12</v>
      </c>
      <c r="I3" s="36">
        <f t="shared" si="0"/>
        <v>59473995.091512561</v>
      </c>
      <c r="J3" s="37">
        <v>43282896530</v>
      </c>
      <c r="K3" s="38" t="s">
        <v>10</v>
      </c>
      <c r="L3" s="39">
        <v>1000</v>
      </c>
      <c r="M3" s="39" t="s">
        <v>11</v>
      </c>
      <c r="N3" s="40">
        <v>1.3474110065</v>
      </c>
      <c r="O3" s="38" t="s">
        <v>12</v>
      </c>
      <c r="P3" s="41">
        <f t="shared" si="1"/>
        <v>58319851.177722663</v>
      </c>
      <c r="Q3" s="42">
        <f t="shared" si="2"/>
        <v>3354874303</v>
      </c>
      <c r="R3" s="43">
        <f t="shared" si="3"/>
        <v>-7.2178635200000008E-2</v>
      </c>
      <c r="S3" s="44">
        <f t="shared" si="4"/>
        <v>1154143.9137898982</v>
      </c>
    </row>
    <row r="4" spans="1:19" x14ac:dyDescent="0.25">
      <c r="A4" s="45" t="s">
        <v>14</v>
      </c>
      <c r="B4" s="45" t="s">
        <v>9</v>
      </c>
      <c r="C4" s="46">
        <v>46637770833</v>
      </c>
      <c r="D4" s="47" t="s">
        <v>10</v>
      </c>
      <c r="E4" s="48">
        <v>1000</v>
      </c>
      <c r="F4" s="49" t="s">
        <v>11</v>
      </c>
      <c r="G4" s="50">
        <v>5.0601759699999999E-2</v>
      </c>
      <c r="H4" s="51" t="s">
        <v>12</v>
      </c>
      <c r="I4" s="52">
        <f t="shared" si="0"/>
        <v>2359953.2726351344</v>
      </c>
      <c r="J4" s="53">
        <v>43282896530</v>
      </c>
      <c r="K4" s="54" t="s">
        <v>10</v>
      </c>
      <c r="L4" s="55">
        <v>1000</v>
      </c>
      <c r="M4" s="55" t="s">
        <v>11</v>
      </c>
      <c r="N4" s="56">
        <v>5.3461703999999999E-2</v>
      </c>
      <c r="O4" s="54" t="s">
        <v>12</v>
      </c>
      <c r="P4" s="57">
        <f t="shared" si="1"/>
        <v>2313977.4025494871</v>
      </c>
      <c r="Q4" s="58">
        <f t="shared" si="2"/>
        <v>3354874303</v>
      </c>
      <c r="R4" s="59">
        <f t="shared" si="3"/>
        <v>-2.8599443000000002E-3</v>
      </c>
      <c r="S4" s="60">
        <f t="shared" si="4"/>
        <v>45975.87008564733</v>
      </c>
    </row>
    <row r="5" spans="1:19" x14ac:dyDescent="0.25">
      <c r="A5" s="29" t="s">
        <v>15</v>
      </c>
      <c r="B5" s="29" t="s">
        <v>9</v>
      </c>
      <c r="C5" s="30">
        <v>22042289733</v>
      </c>
      <c r="D5" s="31" t="s">
        <v>10</v>
      </c>
      <c r="E5" s="32">
        <v>1000</v>
      </c>
      <c r="F5" s="33" t="s">
        <v>11</v>
      </c>
      <c r="G5" s="34">
        <v>1.7126453793</v>
      </c>
      <c r="H5" s="35" t="s">
        <v>12</v>
      </c>
      <c r="I5" s="36">
        <f t="shared" si="0"/>
        <v>37750625.660414279</v>
      </c>
      <c r="J5" s="37">
        <v>20275187980</v>
      </c>
      <c r="K5" s="38" t="s">
        <v>10</v>
      </c>
      <c r="L5" s="39">
        <v>1000</v>
      </c>
      <c r="M5" s="39" t="s">
        <v>11</v>
      </c>
      <c r="N5" s="40">
        <v>1.8243978372</v>
      </c>
      <c r="O5" s="38" t="s">
        <v>12</v>
      </c>
      <c r="P5" s="41">
        <f t="shared" si="1"/>
        <v>36990009.099535435</v>
      </c>
      <c r="Q5" s="42">
        <f t="shared" si="2"/>
        <v>1767101753</v>
      </c>
      <c r="R5" s="43">
        <f t="shared" si="3"/>
        <v>-0.11175245789999999</v>
      </c>
      <c r="S5" s="44">
        <f t="shared" si="4"/>
        <v>760616.56087884307</v>
      </c>
    </row>
    <row r="6" spans="1:19" x14ac:dyDescent="0.25">
      <c r="A6" s="45" t="s">
        <v>16</v>
      </c>
      <c r="B6" s="45" t="s">
        <v>9</v>
      </c>
      <c r="C6" s="46">
        <v>14112047198</v>
      </c>
      <c r="D6" s="47" t="s">
        <v>10</v>
      </c>
      <c r="E6" s="48">
        <v>1000</v>
      </c>
      <c r="F6" s="49" t="s">
        <v>11</v>
      </c>
      <c r="G6" s="50">
        <v>0.21320150060000001</v>
      </c>
      <c r="H6" s="51" t="s">
        <v>12</v>
      </c>
      <c r="I6" s="52">
        <f t="shared" si="0"/>
        <v>3008709.6391516258</v>
      </c>
      <c r="J6" s="53">
        <v>12998071483</v>
      </c>
      <c r="K6" s="54" t="s">
        <v>10</v>
      </c>
      <c r="L6" s="55">
        <v>1000</v>
      </c>
      <c r="M6" s="55" t="s">
        <v>11</v>
      </c>
      <c r="N6" s="56">
        <v>0.22675009090000001</v>
      </c>
      <c r="O6" s="54" t="s">
        <v>12</v>
      </c>
      <c r="P6" s="57">
        <f t="shared" si="1"/>
        <v>2947313.8902949477</v>
      </c>
      <c r="Q6" s="58">
        <f t="shared" si="2"/>
        <v>1113975715</v>
      </c>
      <c r="R6" s="59">
        <f t="shared" si="3"/>
        <v>-1.3548590299999996E-2</v>
      </c>
      <c r="S6" s="60">
        <f t="shared" si="4"/>
        <v>61395.748856678139</v>
      </c>
    </row>
    <row r="7" spans="1:19" x14ac:dyDescent="0.25">
      <c r="A7" s="61" t="s">
        <v>17</v>
      </c>
      <c r="B7" s="61" t="s">
        <v>9</v>
      </c>
      <c r="C7" s="62">
        <v>43305085693</v>
      </c>
      <c r="D7" s="63" t="s">
        <v>10</v>
      </c>
      <c r="E7" s="64">
        <v>1000</v>
      </c>
      <c r="F7" s="65" t="s">
        <v>11</v>
      </c>
      <c r="G7" s="66">
        <v>0.4479857881</v>
      </c>
      <c r="H7" s="67" t="s">
        <v>12</v>
      </c>
      <c r="I7" s="68">
        <f t="shared" si="0"/>
        <v>19400062.942916643</v>
      </c>
      <c r="J7" s="69">
        <v>40225103718</v>
      </c>
      <c r="K7" s="70" t="s">
        <v>10</v>
      </c>
      <c r="L7" s="71">
        <v>1000</v>
      </c>
      <c r="M7" s="71" t="s">
        <v>11</v>
      </c>
      <c r="N7" s="72">
        <v>0.46903994660000004</v>
      </c>
      <c r="O7" s="70" t="s">
        <v>12</v>
      </c>
      <c r="P7" s="73">
        <f t="shared" si="1"/>
        <v>18867180.499870185</v>
      </c>
      <c r="Q7" s="74">
        <f t="shared" si="2"/>
        <v>3079981975</v>
      </c>
      <c r="R7" s="75">
        <f t="shared" si="3"/>
        <v>-2.1054158500000031E-2</v>
      </c>
      <c r="S7" s="76">
        <f t="shared" si="4"/>
        <v>532882.44304645807</v>
      </c>
    </row>
    <row r="8" spans="1:19" ht="30.75" thickBot="1" x14ac:dyDescent="0.3">
      <c r="A8" s="77" t="s">
        <v>18</v>
      </c>
      <c r="B8" s="61" t="s">
        <v>19</v>
      </c>
      <c r="C8" s="62">
        <v>16141852364</v>
      </c>
      <c r="D8" s="63" t="s">
        <v>10</v>
      </c>
      <c r="E8" s="64">
        <v>1000</v>
      </c>
      <c r="F8" s="65" t="s">
        <v>11</v>
      </c>
      <c r="G8" s="66">
        <v>0.22303883829999999</v>
      </c>
      <c r="H8" s="67" t="s">
        <v>12</v>
      </c>
      <c r="I8" s="68">
        <f t="shared" si="0"/>
        <v>3600259.9992766688</v>
      </c>
      <c r="J8" s="69">
        <v>15111471670</v>
      </c>
      <c r="K8" s="70" t="s">
        <v>10</v>
      </c>
      <c r="L8" s="71">
        <v>1000</v>
      </c>
      <c r="M8" s="71" t="s">
        <v>11</v>
      </c>
      <c r="N8" s="72">
        <v>0.23805530520000001</v>
      </c>
      <c r="O8" s="70" t="s">
        <v>12</v>
      </c>
      <c r="P8" s="73">
        <f t="shared" si="1"/>
        <v>3597366.0004230039</v>
      </c>
      <c r="Q8" s="74">
        <f t="shared" si="2"/>
        <v>1030380694</v>
      </c>
      <c r="R8" s="75">
        <f t="shared" si="3"/>
        <v>-1.5016466900000025E-2</v>
      </c>
      <c r="S8" s="76">
        <f t="shared" si="4"/>
        <v>2893.9988536648452</v>
      </c>
    </row>
    <row r="9" spans="1:19" ht="15.75" thickBot="1" x14ac:dyDescent="0.3">
      <c r="A9" s="78" t="s">
        <v>20</v>
      </c>
      <c r="B9" s="79"/>
      <c r="C9" s="80"/>
      <c r="D9" s="81"/>
      <c r="E9" s="82"/>
      <c r="F9" s="83"/>
      <c r="G9" s="84"/>
      <c r="H9" s="85"/>
      <c r="I9" s="86"/>
      <c r="J9" s="80"/>
      <c r="K9" s="85"/>
      <c r="L9" s="82"/>
      <c r="M9" s="82"/>
      <c r="N9" s="84"/>
      <c r="O9" s="85"/>
      <c r="P9" s="86"/>
      <c r="Q9" s="86"/>
      <c r="R9" s="86"/>
      <c r="S9" s="87"/>
    </row>
    <row r="10" spans="1:19" x14ac:dyDescent="0.25">
      <c r="A10" s="12" t="s">
        <v>21</v>
      </c>
      <c r="B10" s="12" t="s">
        <v>9</v>
      </c>
      <c r="C10" s="13">
        <v>1606931280</v>
      </c>
      <c r="D10" s="14" t="s">
        <v>10</v>
      </c>
      <c r="E10" s="15">
        <v>1000</v>
      </c>
      <c r="F10" s="16" t="s">
        <v>11</v>
      </c>
      <c r="G10" s="17">
        <v>1.747273281</v>
      </c>
      <c r="H10" s="18" t="s">
        <v>12</v>
      </c>
      <c r="I10" s="19">
        <f t="shared" ref="I10:I23" si="5">C10/E10*G10</f>
        <v>2807748.0899471296</v>
      </c>
      <c r="J10" s="20">
        <v>1501398094</v>
      </c>
      <c r="K10" s="22" t="s">
        <v>10</v>
      </c>
      <c r="L10" s="22">
        <v>1000</v>
      </c>
      <c r="M10" s="22" t="s">
        <v>11</v>
      </c>
      <c r="N10" s="23">
        <v>1.8297479402999999</v>
      </c>
      <c r="O10" s="21" t="s">
        <v>12</v>
      </c>
      <c r="P10" s="24">
        <f t="shared" ref="P10:P23" si="6">J10/L10*N10</f>
        <v>2747180.0700668455</v>
      </c>
      <c r="Q10" s="25">
        <f t="shared" ref="Q10:Q23" si="7">C10-J10</f>
        <v>105533186</v>
      </c>
      <c r="R10" s="26">
        <f t="shared" ref="R10:R23" si="8">G10-N10</f>
        <v>-8.2474659299999864E-2</v>
      </c>
      <c r="S10" s="27">
        <f t="shared" ref="S10:S23" si="9">I10-P10</f>
        <v>60568.01988028409</v>
      </c>
    </row>
    <row r="11" spans="1:19" x14ac:dyDescent="0.25">
      <c r="A11" s="29" t="s">
        <v>22</v>
      </c>
      <c r="B11" s="29" t="s">
        <v>9</v>
      </c>
      <c r="C11" s="30">
        <v>3332685140</v>
      </c>
      <c r="D11" s="31" t="s">
        <v>10</v>
      </c>
      <c r="E11" s="32">
        <v>1000</v>
      </c>
      <c r="F11" s="33" t="s">
        <v>11</v>
      </c>
      <c r="G11" s="34">
        <f>3.2365971362+0.0053051696</f>
        <v>3.2419023058000001</v>
      </c>
      <c r="H11" s="35" t="s">
        <v>12</v>
      </c>
      <c r="I11" s="36">
        <f t="shared" si="5"/>
        <v>10804239.639871396</v>
      </c>
      <c r="J11" s="37">
        <v>3057792812</v>
      </c>
      <c r="K11" s="39" t="s">
        <v>10</v>
      </c>
      <c r="L11" s="39">
        <v>1000</v>
      </c>
      <c r="M11" s="39" t="s">
        <v>11</v>
      </c>
      <c r="N11" s="40">
        <v>3.395148448</v>
      </c>
      <c r="O11" s="38" t="s">
        <v>12</v>
      </c>
      <c r="P11" s="41">
        <f t="shared" si="6"/>
        <v>10381660.519967355</v>
      </c>
      <c r="Q11" s="42">
        <f t="shared" si="7"/>
        <v>274892328</v>
      </c>
      <c r="R11" s="43">
        <f t="shared" si="8"/>
        <v>-0.15324614219999999</v>
      </c>
      <c r="S11" s="44">
        <f t="shared" si="9"/>
        <v>422579.11990404129</v>
      </c>
    </row>
    <row r="12" spans="1:19" x14ac:dyDescent="0.25">
      <c r="A12" s="29" t="s">
        <v>23</v>
      </c>
      <c r="B12" s="29" t="s">
        <v>9</v>
      </c>
      <c r="C12" s="30">
        <v>3332685140</v>
      </c>
      <c r="D12" s="31" t="s">
        <v>10</v>
      </c>
      <c r="E12" s="32">
        <v>1000</v>
      </c>
      <c r="F12" s="33" t="s">
        <v>11</v>
      </c>
      <c r="G12" s="34">
        <v>0.38717412709999999</v>
      </c>
      <c r="H12" s="35" t="s">
        <v>12</v>
      </c>
      <c r="I12" s="36">
        <f t="shared" si="5"/>
        <v>1290329.4599786412</v>
      </c>
      <c r="J12" s="37">
        <v>3057792812</v>
      </c>
      <c r="K12" s="39" t="s">
        <v>10</v>
      </c>
      <c r="L12" s="39">
        <v>1000</v>
      </c>
      <c r="M12" s="39" t="s">
        <v>11</v>
      </c>
      <c r="N12" s="40">
        <v>0.40396116609999999</v>
      </c>
      <c r="O12" s="38" t="s">
        <v>12</v>
      </c>
      <c r="P12" s="41">
        <f t="shared" si="6"/>
        <v>1235229.5500277181</v>
      </c>
      <c r="Q12" s="42">
        <f t="shared" si="7"/>
        <v>274892328</v>
      </c>
      <c r="R12" s="43">
        <f t="shared" si="8"/>
        <v>-1.6787039000000004E-2</v>
      </c>
      <c r="S12" s="44">
        <f t="shared" si="9"/>
        <v>55099.909950923175</v>
      </c>
    </row>
    <row r="13" spans="1:19" x14ac:dyDescent="0.25">
      <c r="A13" s="29" t="s">
        <v>24</v>
      </c>
      <c r="B13" s="29" t="s">
        <v>19</v>
      </c>
      <c r="C13" s="30">
        <v>3321068548</v>
      </c>
      <c r="D13" s="31" t="s">
        <v>10</v>
      </c>
      <c r="E13" s="32">
        <v>1000</v>
      </c>
      <c r="F13" s="33" t="s">
        <v>11</v>
      </c>
      <c r="G13" s="34">
        <v>0.1881880812</v>
      </c>
      <c r="H13" s="35" t="s">
        <v>12</v>
      </c>
      <c r="I13" s="36">
        <f t="shared" si="5"/>
        <v>624985.5175817901</v>
      </c>
      <c r="J13" s="37">
        <v>3042304412</v>
      </c>
      <c r="K13" s="39" t="s">
        <v>10</v>
      </c>
      <c r="L13" s="39">
        <v>1000</v>
      </c>
      <c r="M13" s="39" t="s">
        <v>11</v>
      </c>
      <c r="N13" s="40">
        <v>0.20579600140000001</v>
      </c>
      <c r="O13" s="38" t="s">
        <v>12</v>
      </c>
      <c r="P13" s="41">
        <f t="shared" si="6"/>
        <v>626094.08303117822</v>
      </c>
      <c r="Q13" s="42">
        <f t="shared" si="7"/>
        <v>278764136</v>
      </c>
      <c r="R13" s="43">
        <f t="shared" si="8"/>
        <v>-1.7607920200000016E-2</v>
      </c>
      <c r="S13" s="44">
        <f t="shared" si="9"/>
        <v>-1108.5654493881157</v>
      </c>
    </row>
    <row r="14" spans="1:19" x14ac:dyDescent="0.25">
      <c r="A14" s="45" t="s">
        <v>25</v>
      </c>
      <c r="B14" s="45" t="s">
        <v>9</v>
      </c>
      <c r="C14" s="46">
        <v>306358720</v>
      </c>
      <c r="D14" s="47" t="s">
        <v>10</v>
      </c>
      <c r="E14" s="48">
        <v>1000</v>
      </c>
      <c r="F14" s="49" t="s">
        <v>11</v>
      </c>
      <c r="G14" s="50">
        <v>1.3420334828</v>
      </c>
      <c r="H14" s="51" t="s">
        <v>12</v>
      </c>
      <c r="I14" s="52">
        <f t="shared" si="5"/>
        <v>411143.65998775</v>
      </c>
      <c r="J14" s="53">
        <v>289029309</v>
      </c>
      <c r="K14" s="55" t="s">
        <v>10</v>
      </c>
      <c r="L14" s="55">
        <v>1000</v>
      </c>
      <c r="M14" s="55" t="s">
        <v>11</v>
      </c>
      <c r="N14" s="56">
        <v>1.4029177228</v>
      </c>
      <c r="O14" s="54" t="s">
        <v>12</v>
      </c>
      <c r="P14" s="57">
        <f t="shared" si="6"/>
        <v>405484.34000473755</v>
      </c>
      <c r="Q14" s="58">
        <f t="shared" si="7"/>
        <v>17329411</v>
      </c>
      <c r="R14" s="59">
        <f t="shared" si="8"/>
        <v>-6.0884240000000034E-2</v>
      </c>
      <c r="S14" s="60">
        <f t="shared" si="9"/>
        <v>5659.3199830124504</v>
      </c>
    </row>
    <row r="15" spans="1:19" x14ac:dyDescent="0.25">
      <c r="A15" s="29" t="s">
        <v>26</v>
      </c>
      <c r="B15" s="29" t="s">
        <v>9</v>
      </c>
      <c r="C15" s="30">
        <v>890239033</v>
      </c>
      <c r="D15" s="31" t="s">
        <v>10</v>
      </c>
      <c r="E15" s="32">
        <v>1000</v>
      </c>
      <c r="F15" s="33" t="s">
        <v>11</v>
      </c>
      <c r="G15" s="34">
        <v>1.0790219642000001</v>
      </c>
      <c r="H15" s="35" t="s">
        <v>12</v>
      </c>
      <c r="I15" s="36">
        <f t="shared" si="5"/>
        <v>960587.46999516874</v>
      </c>
      <c r="J15" s="37">
        <v>799996361</v>
      </c>
      <c r="K15" s="39" t="s">
        <v>10</v>
      </c>
      <c r="L15" s="39">
        <v>1000</v>
      </c>
      <c r="M15" s="39" t="s">
        <v>11</v>
      </c>
      <c r="N15" s="40">
        <v>1.143512289</v>
      </c>
      <c r="O15" s="38" t="s">
        <v>12</v>
      </c>
      <c r="P15" s="41">
        <f t="shared" si="6"/>
        <v>914805.6699587804</v>
      </c>
      <c r="Q15" s="42">
        <f t="shared" si="7"/>
        <v>90242672</v>
      </c>
      <c r="R15" s="43">
        <f t="shared" si="8"/>
        <v>-6.4490324799999943E-2</v>
      </c>
      <c r="S15" s="44">
        <f t="shared" si="9"/>
        <v>45781.800036388333</v>
      </c>
    </row>
    <row r="16" spans="1:19" x14ac:dyDescent="0.25">
      <c r="A16" s="45" t="s">
        <v>27</v>
      </c>
      <c r="B16" s="45" t="s">
        <v>9</v>
      </c>
      <c r="C16" s="46">
        <v>16823220855</v>
      </c>
      <c r="D16" s="47" t="s">
        <v>10</v>
      </c>
      <c r="E16" s="48">
        <v>1000</v>
      </c>
      <c r="F16" s="49" t="s">
        <v>11</v>
      </c>
      <c r="G16" s="50">
        <v>2.6666414503000002</v>
      </c>
      <c r="H16" s="51" t="s">
        <v>12</v>
      </c>
      <c r="I16" s="52">
        <f t="shared" si="5"/>
        <v>44861498.059494413</v>
      </c>
      <c r="J16" s="53">
        <v>15812154819</v>
      </c>
      <c r="K16" s="55" t="s">
        <v>10</v>
      </c>
      <c r="L16" s="55">
        <v>1000</v>
      </c>
      <c r="M16" s="55" t="s">
        <v>11</v>
      </c>
      <c r="N16" s="56">
        <v>2.7996029633999999</v>
      </c>
      <c r="O16" s="54" t="s">
        <v>12</v>
      </c>
      <c r="P16" s="57">
        <f t="shared" si="6"/>
        <v>44267755.489011988</v>
      </c>
      <c r="Q16" s="58">
        <f t="shared" si="7"/>
        <v>1011066036</v>
      </c>
      <c r="R16" s="59">
        <f t="shared" si="8"/>
        <v>-0.13296151309999971</v>
      </c>
      <c r="S16" s="60">
        <f t="shared" si="9"/>
        <v>593742.57048242539</v>
      </c>
    </row>
    <row r="17" spans="1:19" x14ac:dyDescent="0.25">
      <c r="A17" s="29" t="s">
        <v>28</v>
      </c>
      <c r="B17" s="29" t="s">
        <v>9</v>
      </c>
      <c r="C17" s="30">
        <v>1541426333</v>
      </c>
      <c r="D17" s="31" t="s">
        <v>10</v>
      </c>
      <c r="E17" s="32">
        <v>1000</v>
      </c>
      <c r="F17" s="33" t="s">
        <v>11</v>
      </c>
      <c r="G17" s="34">
        <f>2.6629644389+0.0082306171</f>
        <v>2.6711950560000002</v>
      </c>
      <c r="H17" s="35" t="s">
        <v>12</v>
      </c>
      <c r="I17" s="36">
        <f t="shared" si="5"/>
        <v>4117450.3998978101</v>
      </c>
      <c r="J17" s="37">
        <v>1458273421</v>
      </c>
      <c r="K17" s="39" t="s">
        <v>10</v>
      </c>
      <c r="L17" s="39">
        <v>1000</v>
      </c>
      <c r="M17" s="39" t="s">
        <v>11</v>
      </c>
      <c r="N17" s="40">
        <v>2.7584127038000004</v>
      </c>
      <c r="O17" s="38" t="s">
        <v>12</v>
      </c>
      <c r="P17" s="41">
        <f t="shared" si="6"/>
        <v>4022519.9301002864</v>
      </c>
      <c r="Q17" s="42">
        <f t="shared" si="7"/>
        <v>83152912</v>
      </c>
      <c r="R17" s="43">
        <f t="shared" si="8"/>
        <v>-8.7217647800000186E-2</v>
      </c>
      <c r="S17" s="44">
        <f t="shared" si="9"/>
        <v>94930.469797523692</v>
      </c>
    </row>
    <row r="18" spans="1:19" x14ac:dyDescent="0.25">
      <c r="A18" s="29" t="s">
        <v>29</v>
      </c>
      <c r="B18" s="29" t="s">
        <v>9</v>
      </c>
      <c r="C18" s="30">
        <v>1541426333</v>
      </c>
      <c r="D18" s="31" t="s">
        <v>10</v>
      </c>
      <c r="E18" s="32">
        <v>1000</v>
      </c>
      <c r="F18" s="33" t="s">
        <v>11</v>
      </c>
      <c r="G18" s="34">
        <v>0.4392457722</v>
      </c>
      <c r="H18" s="35" t="s">
        <v>12</v>
      </c>
      <c r="I18" s="36">
        <f t="shared" si="5"/>
        <v>677064.99992799934</v>
      </c>
      <c r="J18" s="37">
        <v>1458273421</v>
      </c>
      <c r="K18" s="39" t="s">
        <v>10</v>
      </c>
      <c r="L18" s="39">
        <v>1000</v>
      </c>
      <c r="M18" s="39" t="s">
        <v>11</v>
      </c>
      <c r="N18" s="40">
        <v>0.4516743366</v>
      </c>
      <c r="O18" s="38" t="s">
        <v>12</v>
      </c>
      <c r="P18" s="41">
        <f t="shared" si="6"/>
        <v>658664.68001158757</v>
      </c>
      <c r="Q18" s="42">
        <f t="shared" si="7"/>
        <v>83152912</v>
      </c>
      <c r="R18" s="43">
        <f t="shared" si="8"/>
        <v>-1.2428564400000008E-2</v>
      </c>
      <c r="S18" s="44">
        <f t="shared" si="9"/>
        <v>18400.319916411769</v>
      </c>
    </row>
    <row r="19" spans="1:19" ht="30" x14ac:dyDescent="0.25">
      <c r="A19" s="88" t="s">
        <v>30</v>
      </c>
      <c r="B19" s="29" t="s">
        <v>19</v>
      </c>
      <c r="C19" s="30">
        <v>1527786167</v>
      </c>
      <c r="D19" s="31" t="s">
        <v>10</v>
      </c>
      <c r="E19" s="32">
        <v>1000</v>
      </c>
      <c r="F19" s="33" t="s">
        <v>11</v>
      </c>
      <c r="G19" s="34">
        <v>4.5817930200000002E-2</v>
      </c>
      <c r="H19" s="35" t="s">
        <v>12</v>
      </c>
      <c r="I19" s="36">
        <f t="shared" si="5"/>
        <v>69999.999960131536</v>
      </c>
      <c r="J19" s="37">
        <v>1443234911</v>
      </c>
      <c r="K19" s="39" t="s">
        <v>10</v>
      </c>
      <c r="L19" s="39">
        <v>1000</v>
      </c>
      <c r="M19" s="39" t="s">
        <v>11</v>
      </c>
      <c r="N19" s="40">
        <v>9.0075426400000005E-2</v>
      </c>
      <c r="O19" s="38" t="s">
        <v>12</v>
      </c>
      <c r="P19" s="41">
        <f t="shared" si="6"/>
        <v>130000.00000369106</v>
      </c>
      <c r="Q19" s="42">
        <f t="shared" si="7"/>
        <v>84551256</v>
      </c>
      <c r="R19" s="43">
        <f t="shared" si="8"/>
        <v>-4.4257496200000003E-2</v>
      </c>
      <c r="S19" s="44">
        <f t="shared" si="9"/>
        <v>-60000.000043559528</v>
      </c>
    </row>
    <row r="20" spans="1:19" x14ac:dyDescent="0.25">
      <c r="A20" s="45" t="s">
        <v>31</v>
      </c>
      <c r="B20" s="45" t="s">
        <v>9</v>
      </c>
      <c r="C20" s="46">
        <v>7346216</v>
      </c>
      <c r="D20" s="47" t="s">
        <v>10</v>
      </c>
      <c r="E20" s="48">
        <v>1000</v>
      </c>
      <c r="F20" s="49" t="s">
        <v>11</v>
      </c>
      <c r="G20" s="50">
        <v>2.1175929999999998</v>
      </c>
      <c r="H20" s="51" t="s">
        <v>12</v>
      </c>
      <c r="I20" s="52">
        <f t="shared" si="5"/>
        <v>15556.295578088</v>
      </c>
      <c r="J20" s="53">
        <v>7058421</v>
      </c>
      <c r="K20" s="55" t="s">
        <v>10</v>
      </c>
      <c r="L20" s="55">
        <v>1000</v>
      </c>
      <c r="M20" s="55" t="s">
        <v>11</v>
      </c>
      <c r="N20" s="56">
        <v>2.1509460000000002</v>
      </c>
      <c r="O20" s="54" t="s">
        <v>12</v>
      </c>
      <c r="P20" s="57">
        <f t="shared" si="6"/>
        <v>15182.282416266002</v>
      </c>
      <c r="Q20" s="58">
        <f t="shared" si="7"/>
        <v>287795</v>
      </c>
      <c r="R20" s="59">
        <f t="shared" si="8"/>
        <v>-3.335300000000041E-2</v>
      </c>
      <c r="S20" s="60">
        <f t="shared" si="9"/>
        <v>374.01316182199844</v>
      </c>
    </row>
    <row r="21" spans="1:19" x14ac:dyDescent="0.25">
      <c r="A21" s="118" t="s">
        <v>85</v>
      </c>
      <c r="B21" s="29" t="s">
        <v>9</v>
      </c>
      <c r="C21" s="30">
        <v>87273523</v>
      </c>
      <c r="D21" s="31" t="s">
        <v>10</v>
      </c>
      <c r="E21" s="32">
        <v>1000</v>
      </c>
      <c r="F21" s="33" t="s">
        <v>11</v>
      </c>
      <c r="G21" s="34">
        <f>2.1698832679+0</f>
        <v>2.1698832679</v>
      </c>
      <c r="H21" s="35" t="s">
        <v>12</v>
      </c>
      <c r="I21" s="36">
        <f t="shared" si="5"/>
        <v>189373.3572883858</v>
      </c>
      <c r="J21" s="37">
        <v>82005313</v>
      </c>
      <c r="K21" s="39" t="s">
        <v>10</v>
      </c>
      <c r="L21" s="39">
        <v>1000</v>
      </c>
      <c r="M21" s="39" t="s">
        <v>11</v>
      </c>
      <c r="N21" s="40">
        <v>2.1488290322000001</v>
      </c>
      <c r="O21" s="38" t="s">
        <v>12</v>
      </c>
      <c r="P21" s="41">
        <f t="shared" si="6"/>
        <v>176215.39736904806</v>
      </c>
      <c r="Q21" s="42">
        <f t="shared" si="7"/>
        <v>5268210</v>
      </c>
      <c r="R21" s="43">
        <f t="shared" si="8"/>
        <v>2.1054235699999868E-2</v>
      </c>
      <c r="S21" s="44">
        <f t="shared" si="9"/>
        <v>13157.959919337736</v>
      </c>
    </row>
    <row r="22" spans="1:19" x14ac:dyDescent="0.25">
      <c r="A22" s="118" t="s">
        <v>86</v>
      </c>
      <c r="B22" s="29" t="s">
        <v>9</v>
      </c>
      <c r="C22" s="30">
        <v>87273523</v>
      </c>
      <c r="D22" s="31" t="s">
        <v>10</v>
      </c>
      <c r="E22" s="32">
        <v>1000</v>
      </c>
      <c r="F22" s="33" t="s">
        <v>11</v>
      </c>
      <c r="G22" s="34">
        <v>0.48376287039999999</v>
      </c>
      <c r="H22" s="35" t="s">
        <v>12</v>
      </c>
      <c r="I22" s="36">
        <f t="shared" si="5"/>
        <v>42219.689996400419</v>
      </c>
      <c r="J22" s="37">
        <v>82005313</v>
      </c>
      <c r="K22" s="39" t="s">
        <v>10</v>
      </c>
      <c r="L22" s="39">
        <v>1000</v>
      </c>
      <c r="M22" s="39" t="s">
        <v>11</v>
      </c>
      <c r="N22" s="40">
        <v>0.5</v>
      </c>
      <c r="O22" s="38" t="s">
        <v>12</v>
      </c>
      <c r="P22" s="41">
        <f t="shared" si="6"/>
        <v>41002.656499999997</v>
      </c>
      <c r="Q22" s="42">
        <f t="shared" si="7"/>
        <v>5268210</v>
      </c>
      <c r="R22" s="43">
        <f t="shared" si="8"/>
        <v>-1.6237129600000011E-2</v>
      </c>
      <c r="S22" s="44">
        <f t="shared" si="9"/>
        <v>1217.0334964004214</v>
      </c>
    </row>
    <row r="23" spans="1:19" ht="15.75" thickBot="1" x14ac:dyDescent="0.3">
      <c r="A23" s="118" t="s">
        <v>87</v>
      </c>
      <c r="B23" s="118" t="s">
        <v>19</v>
      </c>
      <c r="C23" s="30">
        <v>86115378</v>
      </c>
      <c r="D23" s="31" t="s">
        <v>10</v>
      </c>
      <c r="E23" s="32">
        <v>1000</v>
      </c>
      <c r="F23" s="33" t="s">
        <v>11</v>
      </c>
      <c r="G23" s="34">
        <v>0</v>
      </c>
      <c r="H23" s="35" t="s">
        <v>12</v>
      </c>
      <c r="I23" s="36">
        <f t="shared" si="5"/>
        <v>0</v>
      </c>
      <c r="J23" s="37">
        <v>80599557</v>
      </c>
      <c r="K23" s="39" t="s">
        <v>10</v>
      </c>
      <c r="L23" s="39">
        <v>1000</v>
      </c>
      <c r="M23" s="39" t="s">
        <v>11</v>
      </c>
      <c r="N23" s="40">
        <v>1.3928116255</v>
      </c>
      <c r="O23" s="38" t="s">
        <v>12</v>
      </c>
      <c r="P23" s="41">
        <f t="shared" si="6"/>
        <v>112259.99999974991</v>
      </c>
      <c r="Q23" s="42">
        <f t="shared" si="7"/>
        <v>5515821</v>
      </c>
      <c r="R23" s="43">
        <f t="shared" si="8"/>
        <v>-1.3928116255</v>
      </c>
      <c r="S23" s="44">
        <f t="shared" si="9"/>
        <v>-112259.99999974991</v>
      </c>
    </row>
    <row r="24" spans="1:19" ht="15.75" thickBot="1" x14ac:dyDescent="0.3">
      <c r="A24" s="78" t="s">
        <v>32</v>
      </c>
      <c r="B24" s="79"/>
      <c r="C24" s="80"/>
      <c r="D24" s="81"/>
      <c r="E24" s="82"/>
      <c r="F24" s="83"/>
      <c r="G24" s="84"/>
      <c r="H24" s="85"/>
      <c r="I24" s="85"/>
      <c r="J24" s="80"/>
      <c r="K24" s="80"/>
      <c r="L24" s="80"/>
      <c r="M24" s="80"/>
      <c r="N24" s="80"/>
      <c r="O24" s="80"/>
      <c r="P24" s="80"/>
      <c r="Q24" s="86"/>
      <c r="R24" s="86"/>
      <c r="S24" s="87"/>
    </row>
    <row r="25" spans="1:19" x14ac:dyDescent="0.25">
      <c r="A25" s="89" t="s">
        <v>33</v>
      </c>
      <c r="B25" s="89" t="s">
        <v>19</v>
      </c>
      <c r="C25" s="13">
        <v>14854377828</v>
      </c>
      <c r="D25" s="47" t="s">
        <v>10</v>
      </c>
      <c r="E25" s="48">
        <v>1000</v>
      </c>
      <c r="F25" s="49" t="s">
        <v>11</v>
      </c>
      <c r="G25" s="17">
        <f>3.0428700092+0.0089341332</f>
        <v>3.0518041424</v>
      </c>
      <c r="H25" s="51" t="s">
        <v>12</v>
      </c>
      <c r="I25" s="52">
        <f t="shared" ref="I25:I50" si="10">C25/E25*G25</f>
        <v>45332651.788265117</v>
      </c>
      <c r="J25" s="53">
        <v>13745563541</v>
      </c>
      <c r="K25" s="55" t="s">
        <v>10</v>
      </c>
      <c r="L25" s="55">
        <v>1000</v>
      </c>
      <c r="M25" s="55" t="s">
        <v>11</v>
      </c>
      <c r="N25" s="56">
        <v>3.2553931242999998</v>
      </c>
      <c r="O25" s="54" t="s">
        <v>12</v>
      </c>
      <c r="P25" s="57">
        <f t="shared" ref="P25:P50" si="11">J25/L25*N25</f>
        <v>44747213.041000158</v>
      </c>
      <c r="Q25" s="58">
        <f t="shared" ref="Q25:Q50" si="12">C25-J25</f>
        <v>1108814287</v>
      </c>
      <c r="R25" s="59">
        <f t="shared" ref="R25:R50" si="13">G25-N25</f>
        <v>-0.20358898189999985</v>
      </c>
      <c r="S25" s="60">
        <f t="shared" ref="S25:S50" si="14">I25-P25</f>
        <v>585438.74726495892</v>
      </c>
    </row>
    <row r="26" spans="1:19" x14ac:dyDescent="0.25">
      <c r="A26" s="12" t="s">
        <v>34</v>
      </c>
      <c r="B26" s="45" t="s">
        <v>19</v>
      </c>
      <c r="C26" s="13">
        <v>14854377828</v>
      </c>
      <c r="D26" s="47" t="s">
        <v>10</v>
      </c>
      <c r="E26" s="48">
        <v>1000</v>
      </c>
      <c r="F26" s="49" t="s">
        <v>11</v>
      </c>
      <c r="G26" s="17">
        <v>1.5258128117</v>
      </c>
      <c r="H26" s="51" t="s">
        <v>12</v>
      </c>
      <c r="I26" s="52">
        <f t="shared" si="10"/>
        <v>22664999.999794818</v>
      </c>
      <c r="J26" s="53">
        <v>13745563541</v>
      </c>
      <c r="K26" s="55" t="s">
        <v>10</v>
      </c>
      <c r="L26" s="55">
        <v>1000</v>
      </c>
      <c r="M26" s="55" t="s">
        <v>11</v>
      </c>
      <c r="N26" s="56">
        <v>1.5741042508</v>
      </c>
      <c r="O26" s="54" t="s">
        <v>12</v>
      </c>
      <c r="P26" s="57">
        <f t="shared" si="11"/>
        <v>21636949.9995296</v>
      </c>
      <c r="Q26" s="58">
        <f t="shared" si="12"/>
        <v>1108814287</v>
      </c>
      <c r="R26" s="59">
        <f t="shared" si="13"/>
        <v>-4.82914391E-2</v>
      </c>
      <c r="S26" s="60">
        <f t="shared" si="14"/>
        <v>1028050.0002652183</v>
      </c>
    </row>
    <row r="27" spans="1:19" x14ac:dyDescent="0.25">
      <c r="A27" s="12" t="s">
        <v>35</v>
      </c>
      <c r="B27" s="45" t="s">
        <v>19</v>
      </c>
      <c r="C27" s="13">
        <v>14854377828</v>
      </c>
      <c r="D27" s="47" t="s">
        <v>10</v>
      </c>
      <c r="E27" s="48">
        <v>1000</v>
      </c>
      <c r="F27" s="49" t="s">
        <v>11</v>
      </c>
      <c r="G27" s="17">
        <v>0.26928088449999998</v>
      </c>
      <c r="H27" s="51" t="s">
        <v>12</v>
      </c>
      <c r="I27" s="52">
        <f t="shared" si="10"/>
        <v>4000000.0002210285</v>
      </c>
      <c r="J27" s="53">
        <v>13745563541</v>
      </c>
      <c r="K27" s="55" t="s">
        <v>10</v>
      </c>
      <c r="L27" s="55">
        <v>1000</v>
      </c>
      <c r="M27" s="55" t="s">
        <v>11</v>
      </c>
      <c r="N27" s="56">
        <v>0.29100298349999998</v>
      </c>
      <c r="O27" s="54" t="s">
        <v>12</v>
      </c>
      <c r="P27" s="57">
        <f t="shared" si="11"/>
        <v>4000000.0003198241</v>
      </c>
      <c r="Q27" s="58">
        <f t="shared" si="12"/>
        <v>1108814287</v>
      </c>
      <c r="R27" s="59">
        <f t="shared" si="13"/>
        <v>-2.1722098999999995E-2</v>
      </c>
      <c r="S27" s="60">
        <f t="shared" si="14"/>
        <v>-9.8795630037784576E-5</v>
      </c>
    </row>
    <row r="28" spans="1:19" x14ac:dyDescent="0.25">
      <c r="A28" s="29" t="s">
        <v>36</v>
      </c>
      <c r="B28" s="29" t="s">
        <v>19</v>
      </c>
      <c r="C28" s="30">
        <v>2829370</v>
      </c>
      <c r="D28" s="31" t="s">
        <v>10</v>
      </c>
      <c r="E28" s="32">
        <v>1000</v>
      </c>
      <c r="F28" s="33" t="s">
        <v>11</v>
      </c>
      <c r="G28" s="34">
        <v>3.4322798345000001</v>
      </c>
      <c r="H28" s="35" t="s">
        <v>12</v>
      </c>
      <c r="I28" s="36">
        <f t="shared" si="10"/>
        <v>9711.189595339265</v>
      </c>
      <c r="J28" s="37">
        <v>2648934</v>
      </c>
      <c r="K28" s="39" t="s">
        <v>10</v>
      </c>
      <c r="L28" s="39">
        <v>1000</v>
      </c>
      <c r="M28" s="39" t="s">
        <v>11</v>
      </c>
      <c r="N28" s="40">
        <v>3.6415894988000002</v>
      </c>
      <c r="O28" s="38" t="s">
        <v>12</v>
      </c>
      <c r="P28" s="41">
        <f t="shared" si="11"/>
        <v>9646.3302374142804</v>
      </c>
      <c r="Q28" s="42">
        <f t="shared" si="12"/>
        <v>180436</v>
      </c>
      <c r="R28" s="43">
        <f t="shared" si="13"/>
        <v>-0.20930966430000009</v>
      </c>
      <c r="S28" s="44">
        <f t="shared" si="14"/>
        <v>64.859357924984579</v>
      </c>
    </row>
    <row r="29" spans="1:19" x14ac:dyDescent="0.25">
      <c r="A29" s="45" t="s">
        <v>37</v>
      </c>
      <c r="B29" s="45" t="s">
        <v>19</v>
      </c>
      <c r="C29" s="46">
        <v>1081926806</v>
      </c>
      <c r="D29" s="47" t="s">
        <v>10</v>
      </c>
      <c r="E29" s="48">
        <v>1000</v>
      </c>
      <c r="F29" s="49" t="s">
        <v>11</v>
      </c>
      <c r="G29" s="50">
        <f>3.0589498815+0.010710475</f>
        <v>3.0696603565</v>
      </c>
      <c r="H29" s="51" t="s">
        <v>12</v>
      </c>
      <c r="I29" s="52">
        <f t="shared" si="10"/>
        <v>3321147.8250128669</v>
      </c>
      <c r="J29" s="53">
        <v>991028837</v>
      </c>
      <c r="K29" s="55" t="s">
        <v>10</v>
      </c>
      <c r="L29" s="55">
        <v>1000</v>
      </c>
      <c r="M29" s="55" t="s">
        <v>11</v>
      </c>
      <c r="N29" s="56">
        <v>3.3315174707000001</v>
      </c>
      <c r="O29" s="54" t="s">
        <v>12</v>
      </c>
      <c r="P29" s="57">
        <f t="shared" si="11"/>
        <v>3301629.8844330031</v>
      </c>
      <c r="Q29" s="58">
        <f t="shared" si="12"/>
        <v>90897969</v>
      </c>
      <c r="R29" s="59">
        <f t="shared" si="13"/>
        <v>-0.26185711420000013</v>
      </c>
      <c r="S29" s="60">
        <f t="shared" si="14"/>
        <v>19517.940579863731</v>
      </c>
    </row>
    <row r="30" spans="1:19" x14ac:dyDescent="0.25">
      <c r="A30" s="45" t="s">
        <v>38</v>
      </c>
      <c r="B30" s="45" t="s">
        <v>19</v>
      </c>
      <c r="C30" s="46">
        <v>1081926806</v>
      </c>
      <c r="D30" s="47" t="s">
        <v>10</v>
      </c>
      <c r="E30" s="48">
        <v>1000</v>
      </c>
      <c r="F30" s="49" t="s">
        <v>11</v>
      </c>
      <c r="G30" s="50">
        <v>2.5984165258999998</v>
      </c>
      <c r="H30" s="51" t="s">
        <v>12</v>
      </c>
      <c r="I30" s="52">
        <f t="shared" si="10"/>
        <v>2811296.4925246034</v>
      </c>
      <c r="J30" s="53">
        <v>991028837</v>
      </c>
      <c r="K30" s="55" t="s">
        <v>10</v>
      </c>
      <c r="L30" s="55">
        <v>1000</v>
      </c>
      <c r="M30" s="55" t="s">
        <v>11</v>
      </c>
      <c r="N30" s="56">
        <v>1.8349640749</v>
      </c>
      <c r="O30" s="54" t="s">
        <v>12</v>
      </c>
      <c r="P30" s="57">
        <f t="shared" si="11"/>
        <v>1818502.3130849281</v>
      </c>
      <c r="Q30" s="58">
        <f t="shared" si="12"/>
        <v>90897969</v>
      </c>
      <c r="R30" s="59">
        <f t="shared" si="13"/>
        <v>0.76345245099999981</v>
      </c>
      <c r="S30" s="60">
        <f t="shared" si="14"/>
        <v>992794.1794396753</v>
      </c>
    </row>
    <row r="31" spans="1:19" x14ac:dyDescent="0.25">
      <c r="A31" s="45" t="s">
        <v>39</v>
      </c>
      <c r="B31" s="45" t="s">
        <v>19</v>
      </c>
      <c r="C31" s="46">
        <v>1081926806</v>
      </c>
      <c r="D31" s="47" t="s">
        <v>10</v>
      </c>
      <c r="E31" s="48">
        <v>1000</v>
      </c>
      <c r="F31" s="49" t="s">
        <v>11</v>
      </c>
      <c r="G31" s="50">
        <v>0.46103848780000001</v>
      </c>
      <c r="H31" s="51" t="s">
        <v>12</v>
      </c>
      <c r="I31" s="52">
        <f t="shared" si="10"/>
        <v>498809.89854852401</v>
      </c>
      <c r="J31" s="53">
        <v>991028837</v>
      </c>
      <c r="K31" s="55" t="s">
        <v>10</v>
      </c>
      <c r="L31" s="55">
        <v>1000</v>
      </c>
      <c r="M31" s="55" t="s">
        <v>11</v>
      </c>
      <c r="N31" s="56">
        <v>0.4987588523</v>
      </c>
      <c r="O31" s="54" t="s">
        <v>12</v>
      </c>
      <c r="P31" s="57">
        <f t="shared" si="11"/>
        <v>494284.40533832379</v>
      </c>
      <c r="Q31" s="58">
        <f t="shared" si="12"/>
        <v>90897969</v>
      </c>
      <c r="R31" s="59">
        <f t="shared" si="13"/>
        <v>-3.7720364499999992E-2</v>
      </c>
      <c r="S31" s="60">
        <f t="shared" si="14"/>
        <v>4525.4932102002203</v>
      </c>
    </row>
    <row r="32" spans="1:19" x14ac:dyDescent="0.25">
      <c r="A32" s="29" t="s">
        <v>40</v>
      </c>
      <c r="B32" s="29" t="s">
        <v>19</v>
      </c>
      <c r="C32" s="30">
        <v>874916831</v>
      </c>
      <c r="D32" s="31" t="s">
        <v>10</v>
      </c>
      <c r="E32" s="32">
        <v>1000</v>
      </c>
      <c r="F32" s="33" t="s">
        <v>11</v>
      </c>
      <c r="G32" s="34">
        <f>2.9090828476+0.0178984098</f>
        <v>2.9269812574</v>
      </c>
      <c r="H32" s="35" t="s">
        <v>12</v>
      </c>
      <c r="I32" s="36">
        <f t="shared" si="10"/>
        <v>2560865.1661208034</v>
      </c>
      <c r="J32" s="37">
        <v>822058395</v>
      </c>
      <c r="K32" s="39" t="s">
        <v>10</v>
      </c>
      <c r="L32" s="39">
        <v>1000</v>
      </c>
      <c r="M32" s="39" t="s">
        <v>11</v>
      </c>
      <c r="N32" s="40">
        <v>3.0980401613999997</v>
      </c>
      <c r="O32" s="38" t="s">
        <v>12</v>
      </c>
      <c r="P32" s="41">
        <f t="shared" si="11"/>
        <v>2546769.9227260249</v>
      </c>
      <c r="Q32" s="42">
        <f t="shared" si="12"/>
        <v>52858436</v>
      </c>
      <c r="R32" s="43">
        <f t="shared" si="13"/>
        <v>-0.17105890399999968</v>
      </c>
      <c r="S32" s="44">
        <f t="shared" si="14"/>
        <v>14095.243394778576</v>
      </c>
    </row>
    <row r="33" spans="1:19" x14ac:dyDescent="0.25">
      <c r="A33" s="29" t="s">
        <v>41</v>
      </c>
      <c r="B33" s="29" t="s">
        <v>19</v>
      </c>
      <c r="C33" s="30">
        <v>874916831</v>
      </c>
      <c r="D33" s="31" t="s">
        <v>10</v>
      </c>
      <c r="E33" s="32">
        <v>1000</v>
      </c>
      <c r="F33" s="33" t="s">
        <v>11</v>
      </c>
      <c r="G33" s="34">
        <v>1.4552267139999999</v>
      </c>
      <c r="H33" s="35" t="s">
        <v>12</v>
      </c>
      <c r="I33" s="36">
        <f t="shared" si="10"/>
        <v>1273202.3449994233</v>
      </c>
      <c r="J33" s="37">
        <v>822058395</v>
      </c>
      <c r="K33" s="39" t="s">
        <v>10</v>
      </c>
      <c r="L33" s="39">
        <v>1000</v>
      </c>
      <c r="M33" s="39" t="s">
        <v>11</v>
      </c>
      <c r="N33" s="40">
        <v>1.4855995705999998</v>
      </c>
      <c r="O33" s="38" t="s">
        <v>12</v>
      </c>
      <c r="P33" s="41">
        <f t="shared" si="11"/>
        <v>1221249.5986201251</v>
      </c>
      <c r="Q33" s="42">
        <f t="shared" si="12"/>
        <v>52858436</v>
      </c>
      <c r="R33" s="43">
        <f t="shared" si="13"/>
        <v>-3.0372856599999887E-2</v>
      </c>
      <c r="S33" s="44">
        <f t="shared" si="14"/>
        <v>51952.746379298158</v>
      </c>
    </row>
    <row r="34" spans="1:19" x14ac:dyDescent="0.25">
      <c r="A34" s="45" t="s">
        <v>42</v>
      </c>
      <c r="B34" s="45" t="s">
        <v>19</v>
      </c>
      <c r="C34" s="46">
        <v>161788371</v>
      </c>
      <c r="D34" s="47" t="s">
        <v>10</v>
      </c>
      <c r="E34" s="48">
        <v>1000</v>
      </c>
      <c r="F34" s="49" t="s">
        <v>11</v>
      </c>
      <c r="G34" s="50">
        <f>2.623011+0</f>
        <v>2.623011</v>
      </c>
      <c r="H34" s="51" t="s">
        <v>12</v>
      </c>
      <c r="I34" s="52">
        <f t="shared" si="10"/>
        <v>424372.67680508102</v>
      </c>
      <c r="J34" s="53">
        <v>156213811</v>
      </c>
      <c r="K34" s="55" t="s">
        <v>10</v>
      </c>
      <c r="L34" s="55">
        <v>1000</v>
      </c>
      <c r="M34" s="55" t="s">
        <v>11</v>
      </c>
      <c r="N34" s="56">
        <v>2.7565379999999999</v>
      </c>
      <c r="O34" s="54" t="s">
        <v>12</v>
      </c>
      <c r="P34" s="57">
        <f t="shared" si="11"/>
        <v>430609.30614631798</v>
      </c>
      <c r="Q34" s="58">
        <f t="shared" si="12"/>
        <v>5574560</v>
      </c>
      <c r="R34" s="59">
        <f t="shared" si="13"/>
        <v>-0.13352699999999995</v>
      </c>
      <c r="S34" s="60">
        <f t="shared" si="14"/>
        <v>-6236.629341236956</v>
      </c>
    </row>
    <row r="35" spans="1:19" x14ac:dyDescent="0.25">
      <c r="A35" s="45" t="s">
        <v>43</v>
      </c>
      <c r="B35" s="45" t="s">
        <v>19</v>
      </c>
      <c r="C35" s="46">
        <v>161788371</v>
      </c>
      <c r="D35" s="47" t="s">
        <v>10</v>
      </c>
      <c r="E35" s="48">
        <v>1000</v>
      </c>
      <c r="F35" s="49" t="s">
        <v>11</v>
      </c>
      <c r="G35" s="50">
        <v>1.9316500000000001</v>
      </c>
      <c r="H35" s="51" t="s">
        <v>12</v>
      </c>
      <c r="I35" s="52">
        <f t="shared" si="10"/>
        <v>312518.50684215006</v>
      </c>
      <c r="J35" s="53">
        <v>156213811</v>
      </c>
      <c r="K35" s="55" t="s">
        <v>10</v>
      </c>
      <c r="L35" s="55">
        <v>1000</v>
      </c>
      <c r="M35" s="55" t="s">
        <v>11</v>
      </c>
      <c r="N35" s="56">
        <v>1.8904339999999999</v>
      </c>
      <c r="O35" s="54" t="s">
        <v>12</v>
      </c>
      <c r="P35" s="57">
        <f t="shared" si="11"/>
        <v>295311.89958397398</v>
      </c>
      <c r="Q35" s="58">
        <f t="shared" si="12"/>
        <v>5574560</v>
      </c>
      <c r="R35" s="59">
        <f t="shared" si="13"/>
        <v>4.1216000000000141E-2</v>
      </c>
      <c r="S35" s="60">
        <f t="shared" si="14"/>
        <v>17206.607258176082</v>
      </c>
    </row>
    <row r="36" spans="1:19" x14ac:dyDescent="0.25">
      <c r="A36" s="29" t="s">
        <v>44</v>
      </c>
      <c r="B36" s="29" t="s">
        <v>19</v>
      </c>
      <c r="C36" s="30">
        <v>156912646</v>
      </c>
      <c r="D36" s="31" t="s">
        <v>10</v>
      </c>
      <c r="E36" s="32">
        <v>1000</v>
      </c>
      <c r="F36" s="33" t="s">
        <v>11</v>
      </c>
      <c r="G36" s="34">
        <f>2.4200628291+0</f>
        <v>2.4200628290999999</v>
      </c>
      <c r="H36" s="35" t="s">
        <v>12</v>
      </c>
      <c r="I36" s="36">
        <f t="shared" si="10"/>
        <v>379738.46200032678</v>
      </c>
      <c r="J36" s="37">
        <v>125574166</v>
      </c>
      <c r="K36" s="39" t="s">
        <v>10</v>
      </c>
      <c r="L36" s="39">
        <v>1000</v>
      </c>
      <c r="M36" s="39" t="s">
        <v>11</v>
      </c>
      <c r="N36" s="40">
        <v>2.9384364262999996</v>
      </c>
      <c r="O36" s="38" t="s">
        <v>12</v>
      </c>
      <c r="P36" s="41">
        <f t="shared" si="11"/>
        <v>368991.7035766429</v>
      </c>
      <c r="Q36" s="42">
        <f t="shared" si="12"/>
        <v>31338480</v>
      </c>
      <c r="R36" s="43">
        <f t="shared" si="13"/>
        <v>-0.51837359719999965</v>
      </c>
      <c r="S36" s="44">
        <f t="shared" si="14"/>
        <v>10746.758423683874</v>
      </c>
    </row>
    <row r="37" spans="1:19" x14ac:dyDescent="0.25">
      <c r="A37" s="29" t="s">
        <v>45</v>
      </c>
      <c r="B37" s="29" t="s">
        <v>19</v>
      </c>
      <c r="C37" s="30">
        <v>156912646</v>
      </c>
      <c r="D37" s="31" t="s">
        <v>10</v>
      </c>
      <c r="E37" s="32">
        <v>1000</v>
      </c>
      <c r="F37" s="33" t="s">
        <v>11</v>
      </c>
      <c r="G37" s="34">
        <v>0</v>
      </c>
      <c r="H37" s="35" t="s">
        <v>12</v>
      </c>
      <c r="I37" s="36">
        <f t="shared" si="10"/>
        <v>0</v>
      </c>
      <c r="J37" s="37">
        <v>125574166</v>
      </c>
      <c r="K37" s="39" t="s">
        <v>10</v>
      </c>
      <c r="L37" s="39">
        <v>1000</v>
      </c>
      <c r="M37" s="39" t="s">
        <v>11</v>
      </c>
      <c r="N37" s="40">
        <v>0</v>
      </c>
      <c r="O37" s="38" t="s">
        <v>12</v>
      </c>
      <c r="P37" s="41">
        <f t="shared" si="11"/>
        <v>0</v>
      </c>
      <c r="Q37" s="42">
        <f t="shared" si="12"/>
        <v>31338480</v>
      </c>
      <c r="R37" s="43">
        <f t="shared" si="13"/>
        <v>0</v>
      </c>
      <c r="S37" s="44">
        <f t="shared" si="14"/>
        <v>0</v>
      </c>
    </row>
    <row r="38" spans="1:19" x14ac:dyDescent="0.25">
      <c r="A38" s="29" t="s">
        <v>46</v>
      </c>
      <c r="B38" s="29" t="s">
        <v>19</v>
      </c>
      <c r="C38" s="30">
        <v>156912646</v>
      </c>
      <c r="D38" s="31" t="s">
        <v>10</v>
      </c>
      <c r="E38" s="32">
        <v>1000</v>
      </c>
      <c r="F38" s="33" t="s">
        <v>11</v>
      </c>
      <c r="G38" s="34">
        <v>0.40309279279999999</v>
      </c>
      <c r="H38" s="35" t="s">
        <v>12</v>
      </c>
      <c r="I38" s="36">
        <f t="shared" si="10"/>
        <v>63250.356701777753</v>
      </c>
      <c r="J38" s="37">
        <v>125574166</v>
      </c>
      <c r="K38" s="39" t="s">
        <v>10</v>
      </c>
      <c r="L38" s="39">
        <v>1000</v>
      </c>
      <c r="M38" s="39" t="s">
        <v>11</v>
      </c>
      <c r="N38" s="40">
        <v>0.47717242560000001</v>
      </c>
      <c r="O38" s="38" t="s">
        <v>12</v>
      </c>
      <c r="P38" s="41">
        <f t="shared" si="11"/>
        <v>59920.529382917048</v>
      </c>
      <c r="Q38" s="42">
        <f t="shared" si="12"/>
        <v>31338480</v>
      </c>
      <c r="R38" s="43">
        <f t="shared" si="13"/>
        <v>-7.4079632800000017E-2</v>
      </c>
      <c r="S38" s="44">
        <f t="shared" si="14"/>
        <v>3329.8273188607054</v>
      </c>
    </row>
    <row r="39" spans="1:19" x14ac:dyDescent="0.25">
      <c r="A39" s="45" t="s">
        <v>47</v>
      </c>
      <c r="B39" s="45" t="s">
        <v>19</v>
      </c>
      <c r="C39" s="46">
        <v>1913401169</v>
      </c>
      <c r="D39" s="47" t="s">
        <v>10</v>
      </c>
      <c r="E39" s="48">
        <v>1000</v>
      </c>
      <c r="F39" s="49" t="s">
        <v>11</v>
      </c>
      <c r="G39" s="50">
        <f>2.9153472027+0.0071246105</f>
        <v>2.9224718132</v>
      </c>
      <c r="H39" s="51" t="s">
        <v>12</v>
      </c>
      <c r="I39" s="52">
        <f t="shared" si="10"/>
        <v>5591860.9837464299</v>
      </c>
      <c r="J39" s="53">
        <v>1786104824</v>
      </c>
      <c r="K39" s="55" t="s">
        <v>10</v>
      </c>
      <c r="L39" s="55">
        <v>1000</v>
      </c>
      <c r="M39" s="55" t="s">
        <v>11</v>
      </c>
      <c r="N39" s="56">
        <v>3.0096220096000001</v>
      </c>
      <c r="O39" s="54" t="s">
        <v>12</v>
      </c>
      <c r="P39" s="57">
        <f t="shared" si="11"/>
        <v>5375500.3897631345</v>
      </c>
      <c r="Q39" s="58">
        <f t="shared" si="12"/>
        <v>127296345</v>
      </c>
      <c r="R39" s="59">
        <f t="shared" si="13"/>
        <v>-8.7150196400000102E-2</v>
      </c>
      <c r="S39" s="60">
        <f t="shared" si="14"/>
        <v>216360.59398329537</v>
      </c>
    </row>
    <row r="40" spans="1:19" x14ac:dyDescent="0.25">
      <c r="A40" s="45" t="s">
        <v>48</v>
      </c>
      <c r="B40" s="45" t="s">
        <v>19</v>
      </c>
      <c r="C40" s="46">
        <v>1913401169</v>
      </c>
      <c r="D40" s="47" t="s">
        <v>10</v>
      </c>
      <c r="E40" s="48">
        <v>1000</v>
      </c>
      <c r="F40" s="49" t="s">
        <v>11</v>
      </c>
      <c r="G40" s="50">
        <v>2.1142198052999999</v>
      </c>
      <c r="H40" s="51" t="s">
        <v>12</v>
      </c>
      <c r="I40" s="52">
        <f t="shared" si="10"/>
        <v>4045350.6469839723</v>
      </c>
      <c r="J40" s="53">
        <v>1786104824</v>
      </c>
      <c r="K40" s="55" t="s">
        <v>10</v>
      </c>
      <c r="L40" s="55">
        <v>1000</v>
      </c>
      <c r="M40" s="55" t="s">
        <v>11</v>
      </c>
      <c r="N40" s="56">
        <v>1.6654453533</v>
      </c>
      <c r="O40" s="54" t="s">
        <v>12</v>
      </c>
      <c r="P40" s="57">
        <f t="shared" si="11"/>
        <v>2974659.9796375143</v>
      </c>
      <c r="Q40" s="58">
        <f t="shared" si="12"/>
        <v>127296345</v>
      </c>
      <c r="R40" s="59">
        <f t="shared" si="13"/>
        <v>0.44877445199999988</v>
      </c>
      <c r="S40" s="60">
        <f t="shared" si="14"/>
        <v>1070690.667346458</v>
      </c>
    </row>
    <row r="41" spans="1:19" x14ac:dyDescent="0.25">
      <c r="A41" s="45" t="s">
        <v>49</v>
      </c>
      <c r="B41" s="45" t="s">
        <v>19</v>
      </c>
      <c r="C41" s="46">
        <v>1913401169</v>
      </c>
      <c r="D41" s="47" t="s">
        <v>10</v>
      </c>
      <c r="E41" s="48">
        <v>1000</v>
      </c>
      <c r="F41" s="49" t="s">
        <v>11</v>
      </c>
      <c r="G41" s="50">
        <v>0.31170047670000001</v>
      </c>
      <c r="H41" s="51" t="s">
        <v>12</v>
      </c>
      <c r="I41" s="52">
        <f t="shared" si="10"/>
        <v>596408.05649563728</v>
      </c>
      <c r="J41" s="53">
        <v>1786104824</v>
      </c>
      <c r="K41" s="55" t="s">
        <v>10</v>
      </c>
      <c r="L41" s="55">
        <v>1000</v>
      </c>
      <c r="M41" s="55" t="s">
        <v>11</v>
      </c>
      <c r="N41" s="56">
        <v>0.33261390619999998</v>
      </c>
      <c r="O41" s="54" t="s">
        <v>12</v>
      </c>
      <c r="P41" s="57">
        <f t="shared" si="11"/>
        <v>594083.30239330349</v>
      </c>
      <c r="Q41" s="58">
        <f t="shared" si="12"/>
        <v>127296345</v>
      </c>
      <c r="R41" s="59">
        <f t="shared" si="13"/>
        <v>-2.0913429499999969E-2</v>
      </c>
      <c r="S41" s="60">
        <f t="shared" si="14"/>
        <v>2324.7541023337981</v>
      </c>
    </row>
    <row r="42" spans="1:19" x14ac:dyDescent="0.25">
      <c r="A42" s="29" t="s">
        <v>50</v>
      </c>
      <c r="B42" s="29" t="s">
        <v>19</v>
      </c>
      <c r="C42" s="30">
        <v>13286978883</v>
      </c>
      <c r="D42" s="31" t="s">
        <v>10</v>
      </c>
      <c r="E42" s="32">
        <v>1000</v>
      </c>
      <c r="F42" s="33" t="s">
        <v>11</v>
      </c>
      <c r="G42" s="34">
        <f>3.5146268918+0.0101476183</f>
        <v>3.5247745100999999</v>
      </c>
      <c r="H42" s="35" t="s">
        <v>12</v>
      </c>
      <c r="I42" s="36">
        <f t="shared" si="10"/>
        <v>46833604.483035363</v>
      </c>
      <c r="J42" s="37">
        <v>12418499463</v>
      </c>
      <c r="K42" s="39" t="s">
        <v>10</v>
      </c>
      <c r="L42" s="39">
        <v>1000</v>
      </c>
      <c r="M42" s="39" t="s">
        <v>11</v>
      </c>
      <c r="N42" s="40">
        <v>3.6757181426000001</v>
      </c>
      <c r="O42" s="38" t="s">
        <v>12</v>
      </c>
      <c r="P42" s="41">
        <f t="shared" si="11"/>
        <v>45646903.780017458</v>
      </c>
      <c r="Q42" s="42">
        <f t="shared" si="12"/>
        <v>868479420</v>
      </c>
      <c r="R42" s="43">
        <f t="shared" si="13"/>
        <v>-0.1509436325000002</v>
      </c>
      <c r="S42" s="44">
        <f t="shared" si="14"/>
        <v>1186700.7030179054</v>
      </c>
    </row>
    <row r="43" spans="1:19" x14ac:dyDescent="0.25">
      <c r="A43" s="29" t="s">
        <v>51</v>
      </c>
      <c r="B43" s="29" t="s">
        <v>19</v>
      </c>
      <c r="C43" s="30">
        <v>13286978883</v>
      </c>
      <c r="D43" s="31" t="s">
        <v>10</v>
      </c>
      <c r="E43" s="32">
        <v>1000</v>
      </c>
      <c r="F43" s="33" t="s">
        <v>11</v>
      </c>
      <c r="G43" s="34">
        <v>1.8438136408000001</v>
      </c>
      <c r="H43" s="35" t="s">
        <v>12</v>
      </c>
      <c r="I43" s="36">
        <f t="shared" si="10"/>
        <v>24498712.909496948</v>
      </c>
      <c r="J43" s="37">
        <v>12418499463</v>
      </c>
      <c r="K43" s="39" t="s">
        <v>10</v>
      </c>
      <c r="L43" s="39">
        <v>1000</v>
      </c>
      <c r="M43" s="39" t="s">
        <v>11</v>
      </c>
      <c r="N43" s="40">
        <v>1.8520016459999999</v>
      </c>
      <c r="O43" s="38" t="s">
        <v>12</v>
      </c>
      <c r="P43" s="41">
        <f t="shared" si="11"/>
        <v>22999081.446326114</v>
      </c>
      <c r="Q43" s="42">
        <f t="shared" si="12"/>
        <v>868479420</v>
      </c>
      <c r="R43" s="43">
        <f t="shared" si="13"/>
        <v>-8.1880051999998482E-3</v>
      </c>
      <c r="S43" s="44">
        <f t="shared" si="14"/>
        <v>1499631.4631708339</v>
      </c>
    </row>
    <row r="44" spans="1:19" x14ac:dyDescent="0.25">
      <c r="A44" s="45" t="s">
        <v>52</v>
      </c>
      <c r="B44" s="45" t="s">
        <v>19</v>
      </c>
      <c r="C44" s="46">
        <v>4510299436</v>
      </c>
      <c r="D44" s="47" t="s">
        <v>10</v>
      </c>
      <c r="E44" s="48">
        <v>1000</v>
      </c>
      <c r="F44" s="49" t="s">
        <v>11</v>
      </c>
      <c r="G44" s="50">
        <f>2.6988752187+0.0028008739</f>
        <v>2.7016760926000001</v>
      </c>
      <c r="H44" s="51" t="s">
        <v>12</v>
      </c>
      <c r="I44" s="52">
        <f t="shared" si="10"/>
        <v>12185368.156708464</v>
      </c>
      <c r="J44" s="53">
        <v>4124497005</v>
      </c>
      <c r="K44" s="55" t="s">
        <v>10</v>
      </c>
      <c r="L44" s="55">
        <v>1000</v>
      </c>
      <c r="M44" s="55" t="s">
        <v>11</v>
      </c>
      <c r="N44" s="56">
        <v>2.8662985321999996</v>
      </c>
      <c r="O44" s="54" t="s">
        <v>12</v>
      </c>
      <c r="P44" s="57">
        <f t="shared" si="11"/>
        <v>11822039.711494794</v>
      </c>
      <c r="Q44" s="58">
        <f t="shared" si="12"/>
        <v>385802431</v>
      </c>
      <c r="R44" s="59">
        <f t="shared" si="13"/>
        <v>-0.16462243959999956</v>
      </c>
      <c r="S44" s="60">
        <f t="shared" si="14"/>
        <v>363328.44521366991</v>
      </c>
    </row>
    <row r="45" spans="1:19" x14ac:dyDescent="0.25">
      <c r="A45" s="45" t="s">
        <v>53</v>
      </c>
      <c r="B45" s="45" t="s">
        <v>19</v>
      </c>
      <c r="C45" s="46">
        <v>4510299436</v>
      </c>
      <c r="D45" s="47" t="s">
        <v>10</v>
      </c>
      <c r="E45" s="48">
        <v>1000</v>
      </c>
      <c r="F45" s="49" t="s">
        <v>11</v>
      </c>
      <c r="G45" s="50">
        <v>2.7524532276999998</v>
      </c>
      <c r="H45" s="51" t="s">
        <v>12</v>
      </c>
      <c r="I45" s="52">
        <f t="shared" si="10"/>
        <v>12414388.240511687</v>
      </c>
      <c r="J45" s="53">
        <v>4124497005</v>
      </c>
      <c r="K45" s="55" t="s">
        <v>10</v>
      </c>
      <c r="L45" s="55">
        <v>1000</v>
      </c>
      <c r="M45" s="55" t="s">
        <v>11</v>
      </c>
      <c r="N45" s="56">
        <v>2.9493455062999998</v>
      </c>
      <c r="O45" s="54" t="s">
        <v>12</v>
      </c>
      <c r="P45" s="57">
        <f t="shared" si="11"/>
        <v>12164566.707444558</v>
      </c>
      <c r="Q45" s="58">
        <f t="shared" si="12"/>
        <v>385802431</v>
      </c>
      <c r="R45" s="59">
        <f t="shared" si="13"/>
        <v>-0.19689227860000003</v>
      </c>
      <c r="S45" s="60">
        <f t="shared" si="14"/>
        <v>249821.53306712955</v>
      </c>
    </row>
    <row r="46" spans="1:19" x14ac:dyDescent="0.25">
      <c r="A46" s="45" t="s">
        <v>54</v>
      </c>
      <c r="B46" s="45" t="s">
        <v>19</v>
      </c>
      <c r="C46" s="46">
        <v>4510299436</v>
      </c>
      <c r="D46" s="47" t="s">
        <v>10</v>
      </c>
      <c r="E46" s="48">
        <v>1000</v>
      </c>
      <c r="F46" s="49" t="s">
        <v>11</v>
      </c>
      <c r="G46" s="50">
        <v>0.2935079713</v>
      </c>
      <c r="H46" s="51" t="s">
        <v>12</v>
      </c>
      <c r="I46" s="52">
        <f t="shared" si="10"/>
        <v>1323808.837415894</v>
      </c>
      <c r="J46" s="53">
        <v>4124497005</v>
      </c>
      <c r="K46" s="55" t="s">
        <v>10</v>
      </c>
      <c r="L46" s="55">
        <v>1000</v>
      </c>
      <c r="M46" s="55" t="s">
        <v>11</v>
      </c>
      <c r="N46" s="56">
        <v>0.31318458979999997</v>
      </c>
      <c r="O46" s="54" t="s">
        <v>12</v>
      </c>
      <c r="P46" s="57">
        <f t="shared" si="11"/>
        <v>1291728.9026422533</v>
      </c>
      <c r="Q46" s="58">
        <f t="shared" si="12"/>
        <v>385802431</v>
      </c>
      <c r="R46" s="59">
        <f t="shared" si="13"/>
        <v>-1.9676618499999965E-2</v>
      </c>
      <c r="S46" s="60">
        <f t="shared" si="14"/>
        <v>32079.934773640707</v>
      </c>
    </row>
    <row r="47" spans="1:19" x14ac:dyDescent="0.25">
      <c r="A47" s="29" t="s">
        <v>55</v>
      </c>
      <c r="B47" s="29" t="s">
        <v>19</v>
      </c>
      <c r="C47" s="30">
        <v>7108093284</v>
      </c>
      <c r="D47" s="31" t="s">
        <v>10</v>
      </c>
      <c r="E47" s="32">
        <v>1000</v>
      </c>
      <c r="F47" s="33" t="s">
        <v>11</v>
      </c>
      <c r="G47" s="34">
        <f>3.659871348+0.0102559009</f>
        <v>3.6701272488999996</v>
      </c>
      <c r="H47" s="35" t="s">
        <v>12</v>
      </c>
      <c r="I47" s="36">
        <f t="shared" si="10"/>
        <v>26087606.849331483</v>
      </c>
      <c r="J47" s="37">
        <v>6524804626</v>
      </c>
      <c r="K47" s="39" t="s">
        <v>10</v>
      </c>
      <c r="L47" s="39">
        <v>1000</v>
      </c>
      <c r="M47" s="39" t="s">
        <v>11</v>
      </c>
      <c r="N47" s="40">
        <v>3.8372230789999997</v>
      </c>
      <c r="O47" s="38" t="s">
        <v>12</v>
      </c>
      <c r="P47" s="41">
        <f t="shared" si="11"/>
        <v>25037130.896853164</v>
      </c>
      <c r="Q47" s="42">
        <f t="shared" si="12"/>
        <v>583288658</v>
      </c>
      <c r="R47" s="43">
        <f t="shared" si="13"/>
        <v>-0.16709583010000006</v>
      </c>
      <c r="S47" s="44">
        <f t="shared" si="14"/>
        <v>1050475.9524783194</v>
      </c>
    </row>
    <row r="48" spans="1:19" x14ac:dyDescent="0.25">
      <c r="A48" s="29" t="s">
        <v>56</v>
      </c>
      <c r="B48" s="29" t="s">
        <v>19</v>
      </c>
      <c r="C48" s="30">
        <v>7108093284</v>
      </c>
      <c r="D48" s="31" t="s">
        <v>10</v>
      </c>
      <c r="E48" s="32">
        <v>1000</v>
      </c>
      <c r="F48" s="33" t="s">
        <v>11</v>
      </c>
      <c r="G48" s="34">
        <v>0.81167438810000003</v>
      </c>
      <c r="H48" s="35" t="s">
        <v>12</v>
      </c>
      <c r="I48" s="36">
        <f t="shared" si="10"/>
        <v>5769457.2668484198</v>
      </c>
      <c r="J48" s="37">
        <v>6524804626</v>
      </c>
      <c r="K48" s="39" t="s">
        <v>10</v>
      </c>
      <c r="L48" s="39">
        <v>1000</v>
      </c>
      <c r="M48" s="39" t="s">
        <v>11</v>
      </c>
      <c r="N48" s="40">
        <v>0.86301956590000006</v>
      </c>
      <c r="O48" s="38" t="s">
        <v>12</v>
      </c>
      <c r="P48" s="41">
        <f t="shared" si="11"/>
        <v>5631034.0559128327</v>
      </c>
      <c r="Q48" s="42">
        <f t="shared" si="12"/>
        <v>583288658</v>
      </c>
      <c r="R48" s="43">
        <f t="shared" si="13"/>
        <v>-5.134517780000003E-2</v>
      </c>
      <c r="S48" s="44">
        <f t="shared" si="14"/>
        <v>138423.21093558706</v>
      </c>
    </row>
    <row r="49" spans="1:19" x14ac:dyDescent="0.25">
      <c r="A49" s="45" t="s">
        <v>57</v>
      </c>
      <c r="B49" s="45" t="s">
        <v>19</v>
      </c>
      <c r="C49" s="46">
        <v>2301959004</v>
      </c>
      <c r="D49" s="47" t="s">
        <v>10</v>
      </c>
      <c r="E49" s="48">
        <v>1000</v>
      </c>
      <c r="F49" s="49" t="s">
        <v>11</v>
      </c>
      <c r="G49" s="50">
        <f>1.9668691239+0.0098928434</f>
        <v>1.9767619673000001</v>
      </c>
      <c r="H49" s="51" t="s">
        <v>12</v>
      </c>
      <c r="I49" s="52">
        <f t="shared" si="10"/>
        <v>4550425.0093909893</v>
      </c>
      <c r="J49" s="53">
        <v>2099325383</v>
      </c>
      <c r="K49" s="55" t="s">
        <v>10</v>
      </c>
      <c r="L49" s="55">
        <v>1000</v>
      </c>
      <c r="M49" s="55" t="s">
        <v>11</v>
      </c>
      <c r="N49" s="56">
        <v>2.0587179294000002</v>
      </c>
      <c r="O49" s="54" t="s">
        <v>12</v>
      </c>
      <c r="P49" s="57">
        <f t="shared" si="11"/>
        <v>4321918.8056266224</v>
      </c>
      <c r="Q49" s="58">
        <f t="shared" si="12"/>
        <v>202633621</v>
      </c>
      <c r="R49" s="59">
        <f t="shared" si="13"/>
        <v>-8.1955962100000113E-2</v>
      </c>
      <c r="S49" s="60">
        <f t="shared" si="14"/>
        <v>228506.20376436692</v>
      </c>
    </row>
    <row r="50" spans="1:19" ht="15.75" thickBot="1" x14ac:dyDescent="0.3">
      <c r="A50" s="45" t="s">
        <v>58</v>
      </c>
      <c r="B50" s="45" t="s">
        <v>19</v>
      </c>
      <c r="C50" s="46">
        <v>2301959004</v>
      </c>
      <c r="D50" s="47" t="s">
        <v>10</v>
      </c>
      <c r="E50" s="48">
        <v>1000</v>
      </c>
      <c r="F50" s="49" t="s">
        <v>11</v>
      </c>
      <c r="G50" s="50">
        <v>1.4075497358</v>
      </c>
      <c r="H50" s="51" t="s">
        <v>12</v>
      </c>
      <c r="I50" s="52">
        <f t="shared" si="10"/>
        <v>3240121.7879026313</v>
      </c>
      <c r="J50" s="53">
        <v>2099325383</v>
      </c>
      <c r="K50" s="55" t="s">
        <v>10</v>
      </c>
      <c r="L50" s="55">
        <v>1000</v>
      </c>
      <c r="M50" s="55" t="s">
        <v>11</v>
      </c>
      <c r="N50" s="56">
        <v>1.4567027719999999</v>
      </c>
      <c r="O50" s="54" t="s">
        <v>12</v>
      </c>
      <c r="P50" s="57">
        <f t="shared" si="11"/>
        <v>3058093.1047460614</v>
      </c>
      <c r="Q50" s="58">
        <f t="shared" si="12"/>
        <v>202633621</v>
      </c>
      <c r="R50" s="59">
        <f t="shared" si="13"/>
        <v>-4.9153036199999889E-2</v>
      </c>
      <c r="S50" s="60">
        <f t="shared" si="14"/>
        <v>182028.68315656995</v>
      </c>
    </row>
    <row r="51" spans="1:19" ht="15.75" thickBot="1" x14ac:dyDescent="0.3">
      <c r="A51" s="78" t="s">
        <v>59</v>
      </c>
      <c r="B51" s="79"/>
      <c r="C51" s="80"/>
      <c r="D51" s="81"/>
      <c r="E51" s="82"/>
      <c r="F51" s="83"/>
      <c r="G51" s="84"/>
      <c r="H51" s="85"/>
      <c r="I51" s="85"/>
      <c r="J51" s="80"/>
      <c r="K51" s="80"/>
      <c r="L51" s="80"/>
      <c r="M51" s="80"/>
      <c r="N51" s="80"/>
      <c r="O51" s="80"/>
      <c r="P51" s="80"/>
      <c r="Q51" s="86"/>
      <c r="R51" s="86"/>
      <c r="S51" s="87"/>
    </row>
    <row r="52" spans="1:19" x14ac:dyDescent="0.25">
      <c r="A52" s="45" t="s">
        <v>60</v>
      </c>
      <c r="B52" s="45" t="s">
        <v>9</v>
      </c>
      <c r="C52" s="46">
        <v>226634940</v>
      </c>
      <c r="D52" s="47" t="s">
        <v>10</v>
      </c>
      <c r="E52" s="48">
        <v>1000</v>
      </c>
      <c r="F52" s="49" t="s">
        <v>11</v>
      </c>
      <c r="G52" s="50">
        <v>0.69389216860000003</v>
      </c>
      <c r="H52" s="51" t="s">
        <v>12</v>
      </c>
      <c r="I52" s="52">
        <f t="shared" ref="I52:I64" si="15">C52/E52*G52</f>
        <v>157260.20999713088</v>
      </c>
      <c r="J52" s="53">
        <v>219767503</v>
      </c>
      <c r="K52" s="55" t="s">
        <v>10</v>
      </c>
      <c r="L52" s="55">
        <v>1000</v>
      </c>
      <c r="M52" s="55" t="s">
        <v>11</v>
      </c>
      <c r="N52" s="56">
        <v>0.71413228919999994</v>
      </c>
      <c r="O52" s="54" t="s">
        <v>12</v>
      </c>
      <c r="P52" s="57">
        <f t="shared" ref="P52:P64" si="16">J52/L52*N52</f>
        <v>156943.07000915785</v>
      </c>
      <c r="Q52" s="58">
        <f t="shared" ref="Q52:Q64" si="17">C52-J52</f>
        <v>6867437</v>
      </c>
      <c r="R52" s="59">
        <f t="shared" ref="R52:R64" si="18">G52-N52</f>
        <v>-2.0240120599999911E-2</v>
      </c>
      <c r="S52" s="60">
        <f t="shared" ref="S52:S64" si="19">I52-P52</f>
        <v>317.13998797303066</v>
      </c>
    </row>
    <row r="53" spans="1:19" x14ac:dyDescent="0.25">
      <c r="A53" s="29" t="s">
        <v>61</v>
      </c>
      <c r="B53" s="29" t="s">
        <v>9</v>
      </c>
      <c r="C53" s="30">
        <v>2263901084</v>
      </c>
      <c r="D53" s="31" t="s">
        <v>10</v>
      </c>
      <c r="E53" s="32">
        <v>1000</v>
      </c>
      <c r="F53" s="33" t="s">
        <v>11</v>
      </c>
      <c r="G53" s="34">
        <v>1.4179839492999999</v>
      </c>
      <c r="H53" s="35" t="s">
        <v>12</v>
      </c>
      <c r="I53" s="36">
        <f t="shared" si="15"/>
        <v>3210175.3999148705</v>
      </c>
      <c r="J53" s="37">
        <v>2085898409</v>
      </c>
      <c r="K53" s="39" t="s">
        <v>10</v>
      </c>
      <c r="L53" s="39">
        <v>1000</v>
      </c>
      <c r="M53" s="39" t="s">
        <v>11</v>
      </c>
      <c r="N53" s="40">
        <v>1.4999999983000001</v>
      </c>
      <c r="O53" s="38" t="s">
        <v>12</v>
      </c>
      <c r="P53" s="41">
        <f t="shared" si="16"/>
        <v>3128847.609953973</v>
      </c>
      <c r="Q53" s="42">
        <f t="shared" si="17"/>
        <v>178002675</v>
      </c>
      <c r="R53" s="43">
        <f t="shared" si="18"/>
        <v>-8.2016049000000146E-2</v>
      </c>
      <c r="S53" s="44">
        <f t="shared" si="19"/>
        <v>81327.789960897528</v>
      </c>
    </row>
    <row r="54" spans="1:19" x14ac:dyDescent="0.25">
      <c r="A54" s="45" t="s">
        <v>62</v>
      </c>
      <c r="B54" s="45" t="s">
        <v>9</v>
      </c>
      <c r="C54" s="46">
        <v>7622894842</v>
      </c>
      <c r="D54" s="47" t="s">
        <v>10</v>
      </c>
      <c r="E54" s="48">
        <v>1000</v>
      </c>
      <c r="F54" s="49" t="s">
        <v>11</v>
      </c>
      <c r="G54" s="50">
        <v>1.3941227565000001</v>
      </c>
      <c r="H54" s="51" t="s">
        <v>12</v>
      </c>
      <c r="I54" s="52">
        <f t="shared" si="15"/>
        <v>10627251.169638673</v>
      </c>
      <c r="J54" s="53">
        <v>6951835405</v>
      </c>
      <c r="K54" s="55" t="s">
        <v>10</v>
      </c>
      <c r="L54" s="55">
        <v>1000</v>
      </c>
      <c r="M54" s="55" t="s">
        <v>11</v>
      </c>
      <c r="N54" s="56">
        <v>1.4837567</v>
      </c>
      <c r="O54" s="54" t="s">
        <v>12</v>
      </c>
      <c r="P54" s="57">
        <f t="shared" si="16"/>
        <v>10314832.359465964</v>
      </c>
      <c r="Q54" s="58">
        <f t="shared" si="17"/>
        <v>671059437</v>
      </c>
      <c r="R54" s="59">
        <f t="shared" si="18"/>
        <v>-8.963394349999998E-2</v>
      </c>
      <c r="S54" s="60">
        <f t="shared" si="19"/>
        <v>312418.81017270871</v>
      </c>
    </row>
    <row r="55" spans="1:19" x14ac:dyDescent="0.25">
      <c r="A55" s="29" t="s">
        <v>63</v>
      </c>
      <c r="B55" s="29" t="s">
        <v>9</v>
      </c>
      <c r="C55" s="30">
        <v>6851309917</v>
      </c>
      <c r="D55" s="31" t="s">
        <v>10</v>
      </c>
      <c r="E55" s="32">
        <v>1000</v>
      </c>
      <c r="F55" s="33" t="s">
        <v>11</v>
      </c>
      <c r="G55" s="34">
        <v>1.4999999991999999</v>
      </c>
      <c r="H55" s="35" t="s">
        <v>12</v>
      </c>
      <c r="I55" s="36">
        <f t="shared" si="15"/>
        <v>10276964.870018952</v>
      </c>
      <c r="J55" s="37">
        <v>6323009657</v>
      </c>
      <c r="K55" s="39" t="s">
        <v>10</v>
      </c>
      <c r="L55" s="39">
        <v>1000</v>
      </c>
      <c r="M55" s="39" t="s">
        <v>11</v>
      </c>
      <c r="N55" s="40">
        <v>1.2698814038999999</v>
      </c>
      <c r="O55" s="38" t="s">
        <v>12</v>
      </c>
      <c r="P55" s="41">
        <f t="shared" si="16"/>
        <v>8029472.380104417</v>
      </c>
      <c r="Q55" s="42">
        <f t="shared" si="17"/>
        <v>528300260</v>
      </c>
      <c r="R55" s="43">
        <f t="shared" si="18"/>
        <v>0.23011859530000001</v>
      </c>
      <c r="S55" s="44">
        <f t="shared" si="19"/>
        <v>2247492.4899145346</v>
      </c>
    </row>
    <row r="56" spans="1:19" x14ac:dyDescent="0.25">
      <c r="A56" s="29" t="s">
        <v>64</v>
      </c>
      <c r="B56" s="29" t="s">
        <v>9</v>
      </c>
      <c r="C56" s="30">
        <v>6851309917</v>
      </c>
      <c r="D56" s="31" t="s">
        <v>10</v>
      </c>
      <c r="E56" s="32">
        <v>1000</v>
      </c>
      <c r="F56" s="33" t="s">
        <v>11</v>
      </c>
      <c r="G56" s="34">
        <v>0.39601671980000003</v>
      </c>
      <c r="H56" s="35" t="s">
        <v>12</v>
      </c>
      <c r="I56" s="36">
        <f t="shared" si="15"/>
        <v>2713233.2796635507</v>
      </c>
      <c r="J56" s="37">
        <v>6323009657</v>
      </c>
      <c r="K56" s="39" t="s">
        <v>10</v>
      </c>
      <c r="L56" s="39">
        <v>1000</v>
      </c>
      <c r="M56" s="39" t="s">
        <v>11</v>
      </c>
      <c r="N56" s="40">
        <v>0.41724673109999999</v>
      </c>
      <c r="O56" s="38" t="s">
        <v>12</v>
      </c>
      <c r="P56" s="41">
        <f t="shared" si="16"/>
        <v>2638255.1100969822</v>
      </c>
      <c r="Q56" s="42">
        <f t="shared" si="17"/>
        <v>528300260</v>
      </c>
      <c r="R56" s="43">
        <f t="shared" si="18"/>
        <v>-2.1230011299999962E-2</v>
      </c>
      <c r="S56" s="44">
        <f t="shared" si="19"/>
        <v>74978.169566568453</v>
      </c>
    </row>
    <row r="57" spans="1:19" x14ac:dyDescent="0.25">
      <c r="A57" s="45" t="s">
        <v>65</v>
      </c>
      <c r="B57" s="45" t="s">
        <v>9</v>
      </c>
      <c r="C57" s="46">
        <v>1322776609</v>
      </c>
      <c r="D57" s="47" t="s">
        <v>10</v>
      </c>
      <c r="E57" s="48">
        <v>1000</v>
      </c>
      <c r="F57" s="49" t="s">
        <v>11</v>
      </c>
      <c r="G57" s="50">
        <v>1.4753301402000001</v>
      </c>
      <c r="H57" s="51" t="s">
        <v>12</v>
      </c>
      <c r="I57" s="52">
        <f t="shared" si="15"/>
        <v>1951532.2000092505</v>
      </c>
      <c r="J57" s="53">
        <v>1195923976</v>
      </c>
      <c r="K57" s="55" t="s">
        <v>10</v>
      </c>
      <c r="L57" s="55">
        <v>1000</v>
      </c>
      <c r="M57" s="55" t="s">
        <v>11</v>
      </c>
      <c r="N57" s="56">
        <v>1.4999999966999999</v>
      </c>
      <c r="O57" s="54" t="s">
        <v>12</v>
      </c>
      <c r="P57" s="57">
        <f t="shared" si="16"/>
        <v>1793885.9600534509</v>
      </c>
      <c r="Q57" s="58">
        <f t="shared" si="17"/>
        <v>126852633</v>
      </c>
      <c r="R57" s="59">
        <f t="shared" si="18"/>
        <v>-2.4669856499999865E-2</v>
      </c>
      <c r="S57" s="60">
        <f t="shared" si="19"/>
        <v>157646.23995579965</v>
      </c>
    </row>
    <row r="58" spans="1:19" x14ac:dyDescent="0.25">
      <c r="A58" s="45" t="s">
        <v>66</v>
      </c>
      <c r="B58" s="45" t="s">
        <v>9</v>
      </c>
      <c r="C58" s="46">
        <v>1322776609</v>
      </c>
      <c r="D58" s="47" t="s">
        <v>10</v>
      </c>
      <c r="E58" s="48">
        <v>1000</v>
      </c>
      <c r="F58" s="49" t="s">
        <v>11</v>
      </c>
      <c r="G58" s="50">
        <v>0.3237434931</v>
      </c>
      <c r="H58" s="51" t="s">
        <v>12</v>
      </c>
      <c r="I58" s="52">
        <f t="shared" si="15"/>
        <v>428240.31998863287</v>
      </c>
      <c r="J58" s="53">
        <v>1195923976</v>
      </c>
      <c r="K58" s="55" t="s">
        <v>10</v>
      </c>
      <c r="L58" s="55">
        <v>1000</v>
      </c>
      <c r="M58" s="55" t="s">
        <v>11</v>
      </c>
      <c r="N58" s="56">
        <v>0.35</v>
      </c>
      <c r="O58" s="54" t="s">
        <v>12</v>
      </c>
      <c r="P58" s="57">
        <f t="shared" si="16"/>
        <v>418573.39159999997</v>
      </c>
      <c r="Q58" s="58">
        <f t="shared" si="17"/>
        <v>126852633</v>
      </c>
      <c r="R58" s="59">
        <f t="shared" si="18"/>
        <v>-2.6256506899999976E-2</v>
      </c>
      <c r="S58" s="60">
        <f t="shared" si="19"/>
        <v>9666.9283886328922</v>
      </c>
    </row>
    <row r="59" spans="1:19" x14ac:dyDescent="0.25">
      <c r="A59" s="29" t="s">
        <v>67</v>
      </c>
      <c r="B59" s="29" t="s">
        <v>9</v>
      </c>
      <c r="C59" s="30">
        <v>875987060</v>
      </c>
      <c r="D59" s="31" t="s">
        <v>10</v>
      </c>
      <c r="E59" s="32">
        <v>1000</v>
      </c>
      <c r="F59" s="33" t="s">
        <v>11</v>
      </c>
      <c r="G59" s="34">
        <v>0.75689629479999998</v>
      </c>
      <c r="H59" s="35" t="s">
        <v>12</v>
      </c>
      <c r="I59" s="36">
        <f t="shared" si="15"/>
        <v>663031.36000674532</v>
      </c>
      <c r="J59" s="37">
        <v>809730398</v>
      </c>
      <c r="K59" s="39" t="s">
        <v>10</v>
      </c>
      <c r="L59" s="39">
        <v>1000</v>
      </c>
      <c r="M59" s="39" t="s">
        <v>11</v>
      </c>
      <c r="N59" s="40">
        <v>0.77274454749999999</v>
      </c>
      <c r="O59" s="38" t="s">
        <v>12</v>
      </c>
      <c r="P59" s="41">
        <f t="shared" si="16"/>
        <v>625714.74999950489</v>
      </c>
      <c r="Q59" s="42">
        <f t="shared" si="17"/>
        <v>66256662</v>
      </c>
      <c r="R59" s="43">
        <f t="shared" si="18"/>
        <v>-1.584825270000001E-2</v>
      </c>
      <c r="S59" s="44">
        <f t="shared" si="19"/>
        <v>37316.610007240437</v>
      </c>
    </row>
    <row r="60" spans="1:19" x14ac:dyDescent="0.25">
      <c r="A60" s="45" t="s">
        <v>68</v>
      </c>
      <c r="B60" s="45" t="s">
        <v>9</v>
      </c>
      <c r="C60" s="46">
        <v>3803288392</v>
      </c>
      <c r="D60" s="47" t="s">
        <v>10</v>
      </c>
      <c r="E60" s="48">
        <v>1000</v>
      </c>
      <c r="F60" s="49" t="s">
        <v>11</v>
      </c>
      <c r="G60" s="50">
        <v>1.5</v>
      </c>
      <c r="H60" s="51" t="s">
        <v>12</v>
      </c>
      <c r="I60" s="52">
        <f t="shared" si="15"/>
        <v>5704932.5879999995</v>
      </c>
      <c r="J60" s="53">
        <v>3517575607</v>
      </c>
      <c r="K60" s="55" t="s">
        <v>10</v>
      </c>
      <c r="L60" s="55">
        <v>1000</v>
      </c>
      <c r="M60" s="55" t="s">
        <v>11</v>
      </c>
      <c r="N60" s="56">
        <v>1.5</v>
      </c>
      <c r="O60" s="54" t="s">
        <v>12</v>
      </c>
      <c r="P60" s="57">
        <f t="shared" si="16"/>
        <v>5276363.4104999993</v>
      </c>
      <c r="Q60" s="58">
        <f t="shared" si="17"/>
        <v>285712785</v>
      </c>
      <c r="R60" s="59">
        <f t="shared" si="18"/>
        <v>0</v>
      </c>
      <c r="S60" s="60">
        <f t="shared" si="19"/>
        <v>428569.17750000022</v>
      </c>
    </row>
    <row r="61" spans="1:19" x14ac:dyDescent="0.25">
      <c r="A61" s="29" t="s">
        <v>69</v>
      </c>
      <c r="B61" s="29" t="s">
        <v>19</v>
      </c>
      <c r="C61" s="30">
        <v>1969836490</v>
      </c>
      <c r="D61" s="31" t="s">
        <v>10</v>
      </c>
      <c r="E61" s="32">
        <v>1000</v>
      </c>
      <c r="F61" s="33" t="s">
        <v>11</v>
      </c>
      <c r="G61" s="34">
        <v>0.14614056750000001</v>
      </c>
      <c r="H61" s="35" t="s">
        <v>12</v>
      </c>
      <c r="I61" s="36">
        <f t="shared" si="15"/>
        <v>287873.02253080811</v>
      </c>
      <c r="J61" s="37">
        <v>1807170584</v>
      </c>
      <c r="K61" s="39" t="s">
        <v>10</v>
      </c>
      <c r="L61" s="39">
        <v>1000</v>
      </c>
      <c r="M61" s="39" t="s">
        <v>11</v>
      </c>
      <c r="N61" s="40">
        <v>0.15455387099999998</v>
      </c>
      <c r="O61" s="38" t="s">
        <v>12</v>
      </c>
      <c r="P61" s="41">
        <f t="shared" si="16"/>
        <v>279305.20931453066</v>
      </c>
      <c r="Q61" s="42">
        <f t="shared" si="17"/>
        <v>162665906</v>
      </c>
      <c r="R61" s="43">
        <f t="shared" si="18"/>
        <v>-8.413303499999969E-3</v>
      </c>
      <c r="S61" s="44">
        <f t="shared" si="19"/>
        <v>8567.8132162774564</v>
      </c>
    </row>
    <row r="62" spans="1:19" x14ac:dyDescent="0.25">
      <c r="A62" s="45" t="s">
        <v>70</v>
      </c>
      <c r="B62" s="45" t="s">
        <v>9</v>
      </c>
      <c r="C62" s="46">
        <v>294453608</v>
      </c>
      <c r="D62" s="47" t="s">
        <v>10</v>
      </c>
      <c r="E62" s="48">
        <v>1000</v>
      </c>
      <c r="F62" s="49" t="s">
        <v>11</v>
      </c>
      <c r="G62" s="50">
        <v>0.98213094400000001</v>
      </c>
      <c r="H62" s="51" t="s">
        <v>12</v>
      </c>
      <c r="I62" s="52">
        <f t="shared" si="15"/>
        <v>289191.99998924596</v>
      </c>
      <c r="J62" s="53">
        <v>280003466</v>
      </c>
      <c r="K62" s="55" t="s">
        <v>10</v>
      </c>
      <c r="L62" s="55">
        <v>1000</v>
      </c>
      <c r="M62" s="55" t="s">
        <v>11</v>
      </c>
      <c r="N62" s="56">
        <v>0.98213102120000007</v>
      </c>
      <c r="O62" s="54" t="s">
        <v>12</v>
      </c>
      <c r="P62" s="57">
        <f t="shared" si="16"/>
        <v>275000.09000211948</v>
      </c>
      <c r="Q62" s="58">
        <f t="shared" si="17"/>
        <v>14450142</v>
      </c>
      <c r="R62" s="59">
        <f t="shared" si="18"/>
        <v>-7.7200000059285401E-8</v>
      </c>
      <c r="S62" s="60">
        <f t="shared" si="19"/>
        <v>14191.909987126477</v>
      </c>
    </row>
    <row r="63" spans="1:19" x14ac:dyDescent="0.25">
      <c r="A63" s="29" t="s">
        <v>71</v>
      </c>
      <c r="B63" s="29" t="s">
        <v>9</v>
      </c>
      <c r="C63" s="30">
        <v>1295518592</v>
      </c>
      <c r="D63" s="31" t="s">
        <v>10</v>
      </c>
      <c r="E63" s="32">
        <v>1000</v>
      </c>
      <c r="F63" s="33" t="s">
        <v>11</v>
      </c>
      <c r="G63" s="34">
        <v>0.4894590351</v>
      </c>
      <c r="H63" s="35" t="s">
        <v>12</v>
      </c>
      <c r="I63" s="36">
        <f t="shared" si="15"/>
        <v>634103.2799944306</v>
      </c>
      <c r="J63" s="37">
        <v>1208994342</v>
      </c>
      <c r="K63" s="39" t="s">
        <v>10</v>
      </c>
      <c r="L63" s="39">
        <v>1000</v>
      </c>
      <c r="M63" s="39" t="s">
        <v>11</v>
      </c>
      <c r="N63" s="40">
        <v>0.49999999919999999</v>
      </c>
      <c r="O63" s="38" t="s">
        <v>12</v>
      </c>
      <c r="P63" s="41">
        <f t="shared" si="16"/>
        <v>604497.17003280448</v>
      </c>
      <c r="Q63" s="42">
        <f t="shared" si="17"/>
        <v>86524250</v>
      </c>
      <c r="R63" s="43">
        <f t="shared" si="18"/>
        <v>-1.0540964099999994E-2</v>
      </c>
      <c r="S63" s="44">
        <f t="shared" si="19"/>
        <v>29606.10996162612</v>
      </c>
    </row>
    <row r="64" spans="1:19" ht="15.75" thickBot="1" x14ac:dyDescent="0.3">
      <c r="A64" s="118" t="s">
        <v>88</v>
      </c>
      <c r="B64" s="118" t="s">
        <v>19</v>
      </c>
      <c r="C64" s="30">
        <v>1281206021</v>
      </c>
      <c r="D64" s="31" t="s">
        <v>10</v>
      </c>
      <c r="E64" s="32">
        <v>1000</v>
      </c>
      <c r="F64" s="33" t="s">
        <v>11</v>
      </c>
      <c r="G64" s="34">
        <v>0</v>
      </c>
      <c r="H64" s="35" t="s">
        <v>12</v>
      </c>
      <c r="I64" s="36">
        <f t="shared" si="15"/>
        <v>0</v>
      </c>
      <c r="J64" s="37">
        <v>1191493221</v>
      </c>
      <c r="K64" s="39" t="s">
        <v>10</v>
      </c>
      <c r="L64" s="39">
        <v>1000</v>
      </c>
      <c r="M64" s="39" t="s">
        <v>11</v>
      </c>
      <c r="N64" s="40">
        <v>1.3504273223000001</v>
      </c>
      <c r="O64" s="38" t="s">
        <v>12</v>
      </c>
      <c r="P64" s="41">
        <f t="shared" si="16"/>
        <v>1609024.9999736322</v>
      </c>
      <c r="Q64" s="42">
        <f t="shared" si="17"/>
        <v>89712800</v>
      </c>
      <c r="R64" s="43">
        <f t="shared" si="18"/>
        <v>-1.3504273223000001</v>
      </c>
      <c r="S64" s="44">
        <f t="shared" si="19"/>
        <v>-1609024.9999736322</v>
      </c>
    </row>
    <row r="65" spans="1:19" ht="15.75" thickBot="1" x14ac:dyDescent="0.3">
      <c r="A65" s="78" t="s">
        <v>72</v>
      </c>
      <c r="B65" s="79"/>
      <c r="C65" s="80"/>
      <c r="D65" s="81"/>
      <c r="E65" s="82"/>
      <c r="F65" s="83"/>
      <c r="G65" s="84"/>
      <c r="H65" s="85"/>
      <c r="I65" s="85"/>
      <c r="J65" s="80"/>
      <c r="K65" s="80"/>
      <c r="L65" s="80"/>
      <c r="M65" s="80"/>
      <c r="N65" s="80"/>
      <c r="O65" s="80"/>
      <c r="P65" s="80"/>
      <c r="Q65" s="86"/>
      <c r="R65" s="86"/>
      <c r="S65" s="87"/>
    </row>
    <row r="66" spans="1:19" x14ac:dyDescent="0.25">
      <c r="A66" s="45" t="s">
        <v>73</v>
      </c>
      <c r="B66" s="45" t="s">
        <v>9</v>
      </c>
      <c r="C66" s="90">
        <v>860240328</v>
      </c>
      <c r="D66" s="91" t="s">
        <v>10</v>
      </c>
      <c r="E66" s="92">
        <v>1000</v>
      </c>
      <c r="F66" s="93" t="s">
        <v>11</v>
      </c>
      <c r="G66" s="94">
        <v>1.9870900600000001E-2</v>
      </c>
      <c r="H66" s="95" t="s">
        <v>12</v>
      </c>
      <c r="I66" s="96">
        <f>C66/E66*G66</f>
        <v>17093.750049799397</v>
      </c>
      <c r="J66" s="97">
        <v>757420801</v>
      </c>
      <c r="K66" s="98" t="s">
        <v>10</v>
      </c>
      <c r="L66" s="98">
        <v>1000</v>
      </c>
      <c r="M66" s="98" t="s">
        <v>11</v>
      </c>
      <c r="N66" s="99">
        <v>2.1660007200000001E-2</v>
      </c>
      <c r="O66" s="100" t="s">
        <v>12</v>
      </c>
      <c r="P66" s="101">
        <f>J66/L66*N66</f>
        <v>16405.740003089766</v>
      </c>
      <c r="Q66" s="102">
        <f>C66-J66</f>
        <v>102819527</v>
      </c>
      <c r="R66" s="103">
        <f>G66-N66</f>
        <v>-1.7891065999999997E-3</v>
      </c>
      <c r="S66" s="104">
        <f>I66-P66</f>
        <v>688.01004670963084</v>
      </c>
    </row>
    <row r="67" spans="1:19" x14ac:dyDescent="0.25">
      <c r="A67" s="29" t="s">
        <v>74</v>
      </c>
      <c r="B67" s="29" t="s">
        <v>9</v>
      </c>
      <c r="C67" s="30">
        <v>534954736</v>
      </c>
      <c r="D67" s="31" t="s">
        <v>10</v>
      </c>
      <c r="E67" s="32">
        <v>1000</v>
      </c>
      <c r="F67" s="33" t="s">
        <v>11</v>
      </c>
      <c r="G67" s="34">
        <v>8.9249943600000006E-2</v>
      </c>
      <c r="H67" s="35" t="s">
        <v>12</v>
      </c>
      <c r="I67" s="36">
        <f>C67/E67*G67</f>
        <v>47744.680016552898</v>
      </c>
      <c r="J67" s="37">
        <v>513418720</v>
      </c>
      <c r="K67" s="39" t="s">
        <v>10</v>
      </c>
      <c r="L67" s="39">
        <v>1000</v>
      </c>
      <c r="M67" s="39" t="s">
        <v>11</v>
      </c>
      <c r="N67" s="105">
        <v>8.9963509699999999E-2</v>
      </c>
      <c r="O67" s="38" t="s">
        <v>12</v>
      </c>
      <c r="P67" s="41">
        <f>J67/L67*N67</f>
        <v>46188.94999688158</v>
      </c>
      <c r="Q67" s="42">
        <f>C67-J67</f>
        <v>21536016</v>
      </c>
      <c r="R67" s="43">
        <f>G67-N67</f>
        <v>-7.1356609999999321E-4</v>
      </c>
      <c r="S67" s="44">
        <f>I67-P67</f>
        <v>1555.7300196713186</v>
      </c>
    </row>
    <row r="68" spans="1:19" x14ac:dyDescent="0.25">
      <c r="A68" s="45" t="s">
        <v>75</v>
      </c>
      <c r="B68" s="45" t="s">
        <v>9</v>
      </c>
      <c r="C68" s="46">
        <v>245844968</v>
      </c>
      <c r="D68" s="47" t="s">
        <v>10</v>
      </c>
      <c r="E68" s="48">
        <v>1000</v>
      </c>
      <c r="F68" s="49" t="s">
        <v>11</v>
      </c>
      <c r="G68" s="50">
        <v>9.6604499199999999E-2</v>
      </c>
      <c r="H68" s="51" t="s">
        <v>12</v>
      </c>
      <c r="I68" s="52">
        <f>C68/E68*G68</f>
        <v>23749.730014480025</v>
      </c>
      <c r="J68" s="53">
        <v>213094415</v>
      </c>
      <c r="K68" s="55" t="s">
        <v>10</v>
      </c>
      <c r="L68" s="55">
        <v>1000</v>
      </c>
      <c r="M68" s="55" t="s">
        <v>11</v>
      </c>
      <c r="N68" s="106">
        <v>9.6147006000000007E-2</v>
      </c>
      <c r="O68" s="54" t="s">
        <v>12</v>
      </c>
      <c r="P68" s="57">
        <f>J68/L68*N68</f>
        <v>20488.389997571492</v>
      </c>
      <c r="Q68" s="58">
        <f>C68-J68</f>
        <v>32750553</v>
      </c>
      <c r="R68" s="59">
        <f>G68-N68</f>
        <v>4.5749319999999205E-4</v>
      </c>
      <c r="S68" s="60">
        <f>I68-P68</f>
        <v>3261.3400169085326</v>
      </c>
    </row>
    <row r="69" spans="1:19" ht="15.75" thickBot="1" x14ac:dyDescent="0.3">
      <c r="A69" s="29" t="s">
        <v>76</v>
      </c>
      <c r="B69" s="29" t="s">
        <v>9</v>
      </c>
      <c r="C69" s="30">
        <v>3067764443</v>
      </c>
      <c r="D69" s="31" t="s">
        <v>10</v>
      </c>
      <c r="E69" s="32">
        <v>1000</v>
      </c>
      <c r="F69" s="33" t="s">
        <v>11</v>
      </c>
      <c r="G69" s="34">
        <v>3.4998834499999999E-2</v>
      </c>
      <c r="H69" s="35" t="s">
        <v>12</v>
      </c>
      <c r="I69" s="36">
        <f>C69/E69*G69</f>
        <v>107368.18002554167</v>
      </c>
      <c r="J69" s="37">
        <v>2875953277</v>
      </c>
      <c r="K69" s="39" t="s">
        <v>10</v>
      </c>
      <c r="L69" s="39">
        <v>1000</v>
      </c>
      <c r="M69" s="39" t="s">
        <v>11</v>
      </c>
      <c r="N69" s="105">
        <v>3.6795855099999997E-2</v>
      </c>
      <c r="O69" s="38" t="s">
        <v>12</v>
      </c>
      <c r="P69" s="41">
        <f>J69/L69*N69</f>
        <v>105823.16005486215</v>
      </c>
      <c r="Q69" s="42">
        <f>C69-J69</f>
        <v>191811166</v>
      </c>
      <c r="R69" s="43">
        <f>G69-N69</f>
        <v>-1.7970205999999975E-3</v>
      </c>
      <c r="S69" s="44">
        <f>I69-P69</f>
        <v>1545.0199706795247</v>
      </c>
    </row>
    <row r="70" spans="1:19" ht="15.75" thickBot="1" x14ac:dyDescent="0.3">
      <c r="A70" s="78" t="s">
        <v>77</v>
      </c>
      <c r="B70" s="79"/>
      <c r="C70" s="80"/>
      <c r="D70" s="81"/>
      <c r="E70" s="82"/>
      <c r="F70" s="83"/>
      <c r="G70" s="84"/>
      <c r="H70" s="85"/>
      <c r="I70" s="85"/>
      <c r="J70" s="80"/>
      <c r="K70" s="80"/>
      <c r="L70" s="80"/>
      <c r="M70" s="80"/>
      <c r="N70" s="80"/>
      <c r="O70" s="80"/>
      <c r="P70" s="80"/>
      <c r="Q70" s="86"/>
      <c r="R70" s="86"/>
      <c r="S70" s="87"/>
    </row>
    <row r="71" spans="1:19" x14ac:dyDescent="0.25">
      <c r="A71" s="107" t="s">
        <v>78</v>
      </c>
      <c r="B71" s="89" t="s">
        <v>9</v>
      </c>
      <c r="C71" s="90">
        <v>5857848862</v>
      </c>
      <c r="D71" s="108" t="s">
        <v>10</v>
      </c>
      <c r="E71" s="109">
        <v>1000</v>
      </c>
      <c r="F71" s="110" t="s">
        <v>11</v>
      </c>
      <c r="G71" s="94">
        <f>0.191104427+0.0003488123</f>
        <v>0.19145323929999999</v>
      </c>
      <c r="H71" s="95" t="s">
        <v>12</v>
      </c>
      <c r="I71" s="96">
        <f>C71/E71*G71</f>
        <v>1121504.1399597186</v>
      </c>
      <c r="J71" s="97">
        <v>5406518397</v>
      </c>
      <c r="K71" s="98" t="s">
        <v>10</v>
      </c>
      <c r="L71" s="98">
        <v>1000</v>
      </c>
      <c r="M71" s="98" t="s">
        <v>11</v>
      </c>
      <c r="N71" s="99">
        <v>0.277220246</v>
      </c>
      <c r="O71" s="100" t="s">
        <v>12</v>
      </c>
      <c r="P71" s="101">
        <f>J71/L71*N71</f>
        <v>1498796.3600198657</v>
      </c>
      <c r="Q71" s="102">
        <f>C71-J71</f>
        <v>451330465</v>
      </c>
      <c r="R71" s="103">
        <f>G71-N71</f>
        <v>-8.5767006700000009E-2</v>
      </c>
      <c r="S71" s="104">
        <f>I71-P71</f>
        <v>-377292.22006014711</v>
      </c>
    </row>
    <row r="72" spans="1:19" x14ac:dyDescent="0.25">
      <c r="A72" s="45" t="s">
        <v>79</v>
      </c>
      <c r="B72" s="12" t="s">
        <v>9</v>
      </c>
      <c r="C72" s="13">
        <v>5857848862</v>
      </c>
      <c r="D72" s="47" t="s">
        <v>10</v>
      </c>
      <c r="E72" s="48">
        <v>1000</v>
      </c>
      <c r="F72" s="49" t="s">
        <v>11</v>
      </c>
      <c r="G72" s="17">
        <v>0.20485335630000001</v>
      </c>
      <c r="H72" s="51" t="s">
        <v>12</v>
      </c>
      <c r="I72" s="52">
        <f>C72/E72*G72</f>
        <v>1200000.0000788355</v>
      </c>
      <c r="J72" s="20">
        <v>5406518397</v>
      </c>
      <c r="K72" s="55" t="s">
        <v>10</v>
      </c>
      <c r="L72" s="55">
        <v>1000</v>
      </c>
      <c r="M72" s="55" t="s">
        <v>11</v>
      </c>
      <c r="N72" s="111">
        <v>0.13872143680000001</v>
      </c>
      <c r="O72" s="54" t="s">
        <v>12</v>
      </c>
      <c r="P72" s="57">
        <f>J72/L72*N72</f>
        <v>750000.00011747284</v>
      </c>
      <c r="Q72" s="58">
        <f>C72-J72</f>
        <v>451330465</v>
      </c>
      <c r="R72" s="59">
        <f>G72-N72</f>
        <v>6.6131919499999997E-2</v>
      </c>
      <c r="S72" s="60">
        <f>I72-P72</f>
        <v>449999.99996136269</v>
      </c>
    </row>
    <row r="73" spans="1:19" x14ac:dyDescent="0.25">
      <c r="A73" s="29" t="s">
        <v>80</v>
      </c>
      <c r="B73" s="29" t="s">
        <v>9</v>
      </c>
      <c r="C73" s="30">
        <v>2317612350</v>
      </c>
      <c r="D73" s="31" t="s">
        <v>10</v>
      </c>
      <c r="E73" s="32">
        <v>1000</v>
      </c>
      <c r="F73" s="33" t="s">
        <v>11</v>
      </c>
      <c r="G73" s="34">
        <v>0.21711292660000001</v>
      </c>
      <c r="H73" s="35" t="s">
        <v>12</v>
      </c>
      <c r="I73" s="36">
        <f>C73/E73*G73</f>
        <v>503183.60003280354</v>
      </c>
      <c r="J73" s="37">
        <v>2118551839</v>
      </c>
      <c r="K73" s="39" t="s">
        <v>10</v>
      </c>
      <c r="L73" s="39">
        <v>1000</v>
      </c>
      <c r="M73" s="39" t="s">
        <v>11</v>
      </c>
      <c r="N73" s="105">
        <v>0.22811544710000001</v>
      </c>
      <c r="O73" s="38" t="s">
        <v>12</v>
      </c>
      <c r="P73" s="41">
        <f>J73/L73*N73</f>
        <v>483274.39995801228</v>
      </c>
      <c r="Q73" s="42">
        <f>C73-J73</f>
        <v>199060511</v>
      </c>
      <c r="R73" s="43">
        <f>G73-N73</f>
        <v>-1.1002520500000001E-2</v>
      </c>
      <c r="S73" s="44">
        <f>I73-P73</f>
        <v>19909.200074791268</v>
      </c>
    </row>
    <row r="74" spans="1:19" x14ac:dyDescent="0.25">
      <c r="A74" s="45" t="s">
        <v>81</v>
      </c>
      <c r="B74" s="45" t="s">
        <v>9</v>
      </c>
      <c r="C74" s="46">
        <v>29713687363</v>
      </c>
      <c r="D74" s="47" t="s">
        <v>10</v>
      </c>
      <c r="E74" s="48">
        <v>1000</v>
      </c>
      <c r="F74" s="49" t="s">
        <v>11</v>
      </c>
      <c r="G74" s="50">
        <v>0.14384071379999999</v>
      </c>
      <c r="H74" s="51" t="s">
        <v>12</v>
      </c>
      <c r="I74" s="52">
        <f>C74/E74*G74</f>
        <v>4274037.9999239594</v>
      </c>
      <c r="J74" s="53">
        <v>27682045907</v>
      </c>
      <c r="K74" s="55" t="s">
        <v>10</v>
      </c>
      <c r="L74" s="55">
        <v>1000</v>
      </c>
      <c r="M74" s="55" t="s">
        <v>11</v>
      </c>
      <c r="N74" s="106">
        <v>0.1546193881</v>
      </c>
      <c r="O74" s="54" t="s">
        <v>12</v>
      </c>
      <c r="P74" s="57">
        <f>J74/L74*N74</f>
        <v>4280180.9994964497</v>
      </c>
      <c r="Q74" s="58">
        <f>C74-J74</f>
        <v>2031641456</v>
      </c>
      <c r="R74" s="59">
        <f>G74-N74</f>
        <v>-1.0778674300000013E-2</v>
      </c>
      <c r="S74" s="60">
        <f>I74-P74</f>
        <v>-6142.999572490342</v>
      </c>
    </row>
    <row r="75" spans="1:19" x14ac:dyDescent="0.25">
      <c r="A75" s="45" t="s">
        <v>82</v>
      </c>
      <c r="B75" s="45" t="s">
        <v>9</v>
      </c>
      <c r="C75" s="46">
        <v>29713687363</v>
      </c>
      <c r="D75" s="47" t="s">
        <v>10</v>
      </c>
      <c r="E75" s="48">
        <v>1000</v>
      </c>
      <c r="F75" s="49" t="s">
        <v>11</v>
      </c>
      <c r="G75" s="50">
        <v>0.19226223689999999</v>
      </c>
      <c r="H75" s="51" t="s">
        <v>12</v>
      </c>
      <c r="I75" s="52">
        <f>C75/E75*G75</f>
        <v>5712819.9989576424</v>
      </c>
      <c r="J75" s="53">
        <v>27682045907</v>
      </c>
      <c r="K75" s="55" t="s">
        <v>10</v>
      </c>
      <c r="L75" s="55">
        <v>1000</v>
      </c>
      <c r="M75" s="55" t="s">
        <v>11</v>
      </c>
      <c r="N75" s="106">
        <v>0.20615083940000001</v>
      </c>
      <c r="O75" s="54" t="s">
        <v>12</v>
      </c>
      <c r="P75" s="57">
        <f>J75/L75*N75</f>
        <v>5706677.0000373852</v>
      </c>
      <c r="Q75" s="58">
        <f>C75-J75</f>
        <v>2031641456</v>
      </c>
      <c r="R75" s="59">
        <f>G75-N75</f>
        <v>-1.3888602500000014E-2</v>
      </c>
      <c r="S75" s="60">
        <f>I75-P75</f>
        <v>6142.9989202572033</v>
      </c>
    </row>
    <row r="76" spans="1:19" x14ac:dyDescent="0.25">
      <c r="C76" s="112"/>
      <c r="E76" s="113"/>
      <c r="G76" s="114"/>
      <c r="I76" s="115"/>
      <c r="P76" s="115"/>
      <c r="Q76" s="116"/>
      <c r="R76" s="117"/>
      <c r="S76" s="115"/>
    </row>
    <row r="77" spans="1:19" x14ac:dyDescent="0.25">
      <c r="G77" s="114"/>
      <c r="I77" s="115"/>
      <c r="P77" s="115"/>
      <c r="S77" s="115"/>
    </row>
    <row r="78" spans="1:19" x14ac:dyDescent="0.25">
      <c r="G78" s="114"/>
      <c r="I78" s="115"/>
      <c r="P78" s="115"/>
      <c r="S78" s="115"/>
    </row>
  </sheetData>
  <printOptions horizontalCentered="1" gridLines="1"/>
  <pageMargins left="0.5" right="0.5" top="0.5" bottom="1" header="0.3" footer="0.3"/>
  <pageSetup paperSize="5" scale="82" fitToHeight="0" orientation="landscape" r:id="rId1"/>
  <headerFooter>
    <oddHeader>&amp;C&amp;"-,Bold"&amp;14Comparison by Levy Report</oddHeader>
    <oddFooter>&amp;L&amp;"-,Bold"Legend&amp;"-,Regular":
AV =  Taxable Assessed Value
GF = General Fund
M+O&amp;O = Maintenance + Operations&amp;CPage &amp;P of &amp;N&amp;RNote: Administrative  Refund Levies are bundled with their parent levy.
Note: Figures do not include Timber Assessed Value.</oddFooter>
  </headerFooter>
  <rowBreaks count="2" manualBreakCount="2">
    <brk id="23" max="16383" man="1"/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78"/>
  <sheetViews>
    <sheetView topLeftCell="A10" zoomScale="85" zoomScaleNormal="85" workbookViewId="0"/>
  </sheetViews>
  <sheetFormatPr defaultRowHeight="15" x14ac:dyDescent="0.25"/>
  <cols>
    <col min="1" max="1" width="25.28515625" style="28" customWidth="1"/>
    <col min="2" max="2" width="7.7109375" style="28" bestFit="1" customWidth="1"/>
    <col min="3" max="3" width="13.85546875" style="28" bestFit="1" customWidth="1"/>
    <col min="4" max="4" width="3.7109375" style="113" customWidth="1"/>
    <col min="5" max="5" width="9.140625" style="28"/>
    <col min="6" max="6" width="3.7109375" style="113" customWidth="1"/>
    <col min="7" max="7" width="12.5703125" style="28" bestFit="1" customWidth="1"/>
    <col min="8" max="8" width="3.7109375" style="113" customWidth="1"/>
    <col min="9" max="9" width="15.5703125" style="28" customWidth="1"/>
    <col min="10" max="10" width="13.85546875" style="28" customWidth="1"/>
    <col min="11" max="11" width="3.7109375" style="113" customWidth="1"/>
    <col min="12" max="12" width="9.140625" style="28"/>
    <col min="13" max="13" width="3.7109375" style="113" customWidth="1"/>
    <col min="14" max="14" width="12.5703125" style="28" customWidth="1"/>
    <col min="15" max="15" width="3.7109375" style="113" customWidth="1"/>
    <col min="16" max="16" width="15.28515625" style="28" bestFit="1" customWidth="1"/>
    <col min="17" max="17" width="13.5703125" style="28" bestFit="1" customWidth="1"/>
    <col min="18" max="18" width="14.140625" style="28" bestFit="1" customWidth="1"/>
    <col min="19" max="19" width="15" style="28" bestFit="1" customWidth="1"/>
    <col min="20" max="16384" width="9.140625" style="28"/>
  </cols>
  <sheetData>
    <row r="1" spans="1:19" s="11" customFormat="1" ht="30.75" thickBot="1" x14ac:dyDescent="0.3">
      <c r="A1" s="1" t="s">
        <v>0</v>
      </c>
      <c r="B1" s="2" t="s">
        <v>1</v>
      </c>
      <c r="C1" s="3" t="s">
        <v>83</v>
      </c>
      <c r="D1" s="4"/>
      <c r="E1" s="5" t="s">
        <v>3</v>
      </c>
      <c r="F1" s="4"/>
      <c r="G1" s="3" t="s">
        <v>84</v>
      </c>
      <c r="H1" s="6"/>
      <c r="I1" s="3" t="s">
        <v>5</v>
      </c>
      <c r="J1" s="7" t="s">
        <v>2</v>
      </c>
      <c r="K1" s="7"/>
      <c r="L1" s="8" t="s">
        <v>3</v>
      </c>
      <c r="M1" s="7"/>
      <c r="N1" s="7" t="s">
        <v>4</v>
      </c>
      <c r="O1" s="9"/>
      <c r="P1" s="7" t="s">
        <v>5</v>
      </c>
      <c r="Q1" s="2" t="s">
        <v>6</v>
      </c>
      <c r="R1" s="2" t="s">
        <v>7</v>
      </c>
      <c r="S1" s="10" t="s">
        <v>5</v>
      </c>
    </row>
    <row r="2" spans="1:19" x14ac:dyDescent="0.25">
      <c r="A2" s="12" t="s">
        <v>8</v>
      </c>
      <c r="B2" s="12" t="s">
        <v>9</v>
      </c>
      <c r="C2" s="13">
        <v>43279862385</v>
      </c>
      <c r="D2" s="14" t="s">
        <v>10</v>
      </c>
      <c r="E2" s="15">
        <v>1000</v>
      </c>
      <c r="F2" s="16" t="s">
        <v>11</v>
      </c>
      <c r="G2" s="17">
        <v>2.2244392586999999</v>
      </c>
      <c r="H2" s="18" t="s">
        <v>12</v>
      </c>
      <c r="I2" s="19">
        <f t="shared" ref="I2:I8" si="0">C2/E2*G2</f>
        <v>96273425.000327408</v>
      </c>
      <c r="J2" s="20">
        <v>39013817992</v>
      </c>
      <c r="K2" s="21" t="s">
        <v>10</v>
      </c>
      <c r="L2" s="22">
        <v>1000</v>
      </c>
      <c r="M2" s="22" t="s">
        <v>11</v>
      </c>
      <c r="N2" s="23">
        <v>2.3470951757999998</v>
      </c>
      <c r="O2" s="21" t="s">
        <v>12</v>
      </c>
      <c r="P2" s="24">
        <f t="shared" ref="P2:P8" si="1">J2/L2*N2</f>
        <v>91569143.99856244</v>
      </c>
      <c r="Q2" s="25">
        <f t="shared" ref="Q2:Q8" si="2">C2-J2</f>
        <v>4266044393</v>
      </c>
      <c r="R2" s="26">
        <f t="shared" ref="R2:R8" si="3">G2-N2</f>
        <v>-0.1226559170999999</v>
      </c>
      <c r="S2" s="27">
        <f t="shared" ref="S2:S8" si="4">I2-P2</f>
        <v>4704281.001764968</v>
      </c>
    </row>
    <row r="3" spans="1:19" x14ac:dyDescent="0.25">
      <c r="A3" s="29" t="s">
        <v>13</v>
      </c>
      <c r="B3" s="29" t="s">
        <v>9</v>
      </c>
      <c r="C3" s="30">
        <v>43282896530</v>
      </c>
      <c r="D3" s="31" t="s">
        <v>10</v>
      </c>
      <c r="E3" s="32">
        <v>1000</v>
      </c>
      <c r="F3" s="33" t="s">
        <v>11</v>
      </c>
      <c r="G3" s="34">
        <v>1.3474110065</v>
      </c>
      <c r="H3" s="35" t="s">
        <v>12</v>
      </c>
      <c r="I3" s="36">
        <f t="shared" si="0"/>
        <v>58319851.177722663</v>
      </c>
      <c r="J3" s="37">
        <v>39016841558</v>
      </c>
      <c r="K3" s="38" t="s">
        <v>10</v>
      </c>
      <c r="L3" s="39">
        <v>1000</v>
      </c>
      <c r="M3" s="39" t="s">
        <v>11</v>
      </c>
      <c r="N3" s="40">
        <v>1.4649895167</v>
      </c>
      <c r="O3" s="38" t="s">
        <v>12</v>
      </c>
      <c r="P3" s="41">
        <f t="shared" si="1"/>
        <v>57159263.85721489</v>
      </c>
      <c r="Q3" s="42">
        <f t="shared" si="2"/>
        <v>4266054972</v>
      </c>
      <c r="R3" s="43">
        <f t="shared" si="3"/>
        <v>-0.11757851019999999</v>
      </c>
      <c r="S3" s="44">
        <f t="shared" si="4"/>
        <v>1160587.3205077723</v>
      </c>
    </row>
    <row r="4" spans="1:19" x14ac:dyDescent="0.25">
      <c r="A4" s="45" t="s">
        <v>14</v>
      </c>
      <c r="B4" s="45" t="s">
        <v>9</v>
      </c>
      <c r="C4" s="46">
        <v>43282896530</v>
      </c>
      <c r="D4" s="47" t="s">
        <v>10</v>
      </c>
      <c r="E4" s="48">
        <v>1000</v>
      </c>
      <c r="F4" s="49" t="s">
        <v>11</v>
      </c>
      <c r="G4" s="50">
        <v>5.3461703999999999E-2</v>
      </c>
      <c r="H4" s="51" t="s">
        <v>12</v>
      </c>
      <c r="I4" s="52">
        <f t="shared" si="0"/>
        <v>2313977.4025494871</v>
      </c>
      <c r="J4" s="53">
        <v>39016841558</v>
      </c>
      <c r="K4" s="54" t="s">
        <v>10</v>
      </c>
      <c r="L4" s="55">
        <v>1000</v>
      </c>
      <c r="M4" s="55" t="s">
        <v>11</v>
      </c>
      <c r="N4" s="56">
        <v>5.8122356799999997E-2</v>
      </c>
      <c r="O4" s="54" t="s">
        <v>12</v>
      </c>
      <c r="P4" s="57">
        <f t="shared" si="1"/>
        <v>2267750.7862431435</v>
      </c>
      <c r="Q4" s="58">
        <f t="shared" si="2"/>
        <v>4266054972</v>
      </c>
      <c r="R4" s="59">
        <f t="shared" si="3"/>
        <v>-4.660652799999998E-3</v>
      </c>
      <c r="S4" s="60">
        <f t="shared" si="4"/>
        <v>46226.616306343582</v>
      </c>
    </row>
    <row r="5" spans="1:19" x14ac:dyDescent="0.25">
      <c r="A5" s="29" t="s">
        <v>15</v>
      </c>
      <c r="B5" s="29" t="s">
        <v>9</v>
      </c>
      <c r="C5" s="30">
        <v>20275187980</v>
      </c>
      <c r="D5" s="31" t="s">
        <v>10</v>
      </c>
      <c r="E5" s="32">
        <v>1000</v>
      </c>
      <c r="F5" s="33" t="s">
        <v>11</v>
      </c>
      <c r="G5" s="34">
        <v>1.8243978372</v>
      </c>
      <c r="H5" s="35" t="s">
        <v>12</v>
      </c>
      <c r="I5" s="36">
        <f t="shared" si="0"/>
        <v>36990009.099535435</v>
      </c>
      <c r="J5" s="37">
        <v>18262003996</v>
      </c>
      <c r="K5" s="38" t="s">
        <v>10</v>
      </c>
      <c r="L5" s="39">
        <v>1000</v>
      </c>
      <c r="M5" s="39" t="s">
        <v>11</v>
      </c>
      <c r="N5" s="40">
        <v>1.9873577202999999</v>
      </c>
      <c r="O5" s="38" t="s">
        <v>12</v>
      </c>
      <c r="P5" s="41">
        <f t="shared" si="1"/>
        <v>36293134.629600048</v>
      </c>
      <c r="Q5" s="42">
        <f t="shared" si="2"/>
        <v>2013183984</v>
      </c>
      <c r="R5" s="43">
        <f t="shared" si="3"/>
        <v>-0.16295988309999987</v>
      </c>
      <c r="S5" s="44">
        <f t="shared" si="4"/>
        <v>696874.46993538737</v>
      </c>
    </row>
    <row r="6" spans="1:19" x14ac:dyDescent="0.25">
      <c r="A6" s="45" t="s">
        <v>16</v>
      </c>
      <c r="B6" s="45" t="s">
        <v>9</v>
      </c>
      <c r="C6" s="46">
        <v>12998071483</v>
      </c>
      <c r="D6" s="47" t="s">
        <v>10</v>
      </c>
      <c r="E6" s="48">
        <v>1000</v>
      </c>
      <c r="F6" s="49" t="s">
        <v>11</v>
      </c>
      <c r="G6" s="50">
        <v>0.22675009090000001</v>
      </c>
      <c r="H6" s="51" t="s">
        <v>12</v>
      </c>
      <c r="I6" s="52">
        <f t="shared" si="0"/>
        <v>2947313.8902949477</v>
      </c>
      <c r="J6" s="53">
        <v>11681011161</v>
      </c>
      <c r="K6" s="54" t="s">
        <v>10</v>
      </c>
      <c r="L6" s="55">
        <v>1000</v>
      </c>
      <c r="M6" s="55" t="s">
        <v>11</v>
      </c>
      <c r="N6" s="56">
        <v>0.24711180739999999</v>
      </c>
      <c r="O6" s="54" t="s">
        <v>12</v>
      </c>
      <c r="P6" s="57">
        <f t="shared" si="1"/>
        <v>2886515.7802542825</v>
      </c>
      <c r="Q6" s="58">
        <f t="shared" si="2"/>
        <v>1317060322</v>
      </c>
      <c r="R6" s="59">
        <f t="shared" si="3"/>
        <v>-2.0361716499999988E-2</v>
      </c>
      <c r="S6" s="60">
        <f t="shared" si="4"/>
        <v>60798.110040665139</v>
      </c>
    </row>
    <row r="7" spans="1:19" x14ac:dyDescent="0.25">
      <c r="A7" s="61" t="s">
        <v>17</v>
      </c>
      <c r="B7" s="61" t="s">
        <v>9</v>
      </c>
      <c r="C7" s="62">
        <v>40225103718</v>
      </c>
      <c r="D7" s="63" t="s">
        <v>10</v>
      </c>
      <c r="E7" s="64">
        <v>1000</v>
      </c>
      <c r="F7" s="65" t="s">
        <v>11</v>
      </c>
      <c r="G7" s="66">
        <v>0.46903994660000004</v>
      </c>
      <c r="H7" s="67" t="s">
        <v>12</v>
      </c>
      <c r="I7" s="68">
        <f t="shared" si="0"/>
        <v>18867180.499870185</v>
      </c>
      <c r="J7" s="69">
        <v>36259758503</v>
      </c>
      <c r="K7" s="70" t="s">
        <v>10</v>
      </c>
      <c r="L7" s="71">
        <v>1000</v>
      </c>
      <c r="M7" s="71" t="s">
        <v>11</v>
      </c>
      <c r="N7" s="72">
        <v>0.49970392229999999</v>
      </c>
      <c r="O7" s="70" t="s">
        <v>12</v>
      </c>
      <c r="P7" s="73">
        <f t="shared" si="1"/>
        <v>18119143.545599874</v>
      </c>
      <c r="Q7" s="74">
        <f t="shared" si="2"/>
        <v>3965345215</v>
      </c>
      <c r="R7" s="75">
        <f t="shared" si="3"/>
        <v>-3.0663975699999957E-2</v>
      </c>
      <c r="S7" s="76">
        <f t="shared" si="4"/>
        <v>748036.9542703107</v>
      </c>
    </row>
    <row r="8" spans="1:19" ht="30.75" thickBot="1" x14ac:dyDescent="0.3">
      <c r="A8" s="77" t="s">
        <v>18</v>
      </c>
      <c r="B8" s="61" t="s">
        <v>19</v>
      </c>
      <c r="C8" s="62">
        <v>15111471670</v>
      </c>
      <c r="D8" s="63" t="s">
        <v>10</v>
      </c>
      <c r="E8" s="64">
        <v>1000</v>
      </c>
      <c r="F8" s="65" t="s">
        <v>11</v>
      </c>
      <c r="G8" s="66">
        <v>0.23805530520000001</v>
      </c>
      <c r="H8" s="67" t="s">
        <v>12</v>
      </c>
      <c r="I8" s="68">
        <f t="shared" si="0"/>
        <v>3597366.0004230039</v>
      </c>
      <c r="J8" s="69">
        <v>13655199848</v>
      </c>
      <c r="K8" s="70" t="s">
        <v>10</v>
      </c>
      <c r="L8" s="71">
        <v>1000</v>
      </c>
      <c r="M8" s="71" t="s">
        <v>11</v>
      </c>
      <c r="N8" s="72">
        <v>0.23859240700000001</v>
      </c>
      <c r="O8" s="70" t="s">
        <v>12</v>
      </c>
      <c r="P8" s="73">
        <f t="shared" si="1"/>
        <v>3258026.9998003542</v>
      </c>
      <c r="Q8" s="74">
        <f t="shared" si="2"/>
        <v>1456271822</v>
      </c>
      <c r="R8" s="75">
        <f t="shared" si="3"/>
        <v>-5.3710179999999497E-4</v>
      </c>
      <c r="S8" s="76">
        <f t="shared" si="4"/>
        <v>339339.00062264968</v>
      </c>
    </row>
    <row r="9" spans="1:19" ht="15.75" thickBot="1" x14ac:dyDescent="0.3">
      <c r="A9" s="78" t="s">
        <v>20</v>
      </c>
      <c r="B9" s="79"/>
      <c r="C9" s="80"/>
      <c r="D9" s="81"/>
      <c r="E9" s="82"/>
      <c r="F9" s="83"/>
      <c r="G9" s="84"/>
      <c r="H9" s="85"/>
      <c r="I9" s="86"/>
      <c r="J9" s="80"/>
      <c r="K9" s="85"/>
      <c r="L9" s="82"/>
      <c r="M9" s="82"/>
      <c r="N9" s="84"/>
      <c r="O9" s="85"/>
      <c r="P9" s="86"/>
      <c r="Q9" s="86"/>
      <c r="R9" s="86"/>
      <c r="S9" s="87"/>
    </row>
    <row r="10" spans="1:19" x14ac:dyDescent="0.25">
      <c r="A10" s="12" t="s">
        <v>21</v>
      </c>
      <c r="B10" s="12" t="s">
        <v>9</v>
      </c>
      <c r="C10" s="13">
        <v>1501398094</v>
      </c>
      <c r="D10" s="14" t="s">
        <v>10</v>
      </c>
      <c r="E10" s="15">
        <v>1000</v>
      </c>
      <c r="F10" s="16" t="s">
        <v>11</v>
      </c>
      <c r="G10" s="17">
        <v>1.8297479402999999</v>
      </c>
      <c r="H10" s="18" t="s">
        <v>12</v>
      </c>
      <c r="I10" s="19">
        <f t="shared" ref="I10:I23" si="5">C10/E10*G10</f>
        <v>2747180.0700668455</v>
      </c>
      <c r="J10" s="20">
        <v>1332783511</v>
      </c>
      <c r="K10" s="22" t="s">
        <v>10</v>
      </c>
      <c r="L10" s="22">
        <v>1000</v>
      </c>
      <c r="M10" s="22" t="s">
        <v>11</v>
      </c>
      <c r="N10" s="23">
        <v>1.9601285944</v>
      </c>
      <c r="O10" s="21" t="s">
        <v>12</v>
      </c>
      <c r="P10" s="24">
        <f t="shared" ref="P10:P23" si="6">J10/L10*N10</f>
        <v>2612427.0700559267</v>
      </c>
      <c r="Q10" s="25">
        <f t="shared" ref="Q10:Q23" si="7">C10-J10</f>
        <v>168614583</v>
      </c>
      <c r="R10" s="26">
        <f t="shared" ref="R10:R23" si="8">G10-N10</f>
        <v>-0.1303806541000001</v>
      </c>
      <c r="S10" s="27">
        <f t="shared" ref="S10:S23" si="9">I10-P10</f>
        <v>134753.00001091883</v>
      </c>
    </row>
    <row r="11" spans="1:19" x14ac:dyDescent="0.25">
      <c r="A11" s="29" t="s">
        <v>22</v>
      </c>
      <c r="B11" s="29" t="s">
        <v>9</v>
      </c>
      <c r="C11" s="30">
        <v>3057792812</v>
      </c>
      <c r="D11" s="31" t="s">
        <v>10</v>
      </c>
      <c r="E11" s="32">
        <v>1000</v>
      </c>
      <c r="F11" s="33" t="s">
        <v>11</v>
      </c>
      <c r="G11" s="34">
        <v>3.395148448</v>
      </c>
      <c r="H11" s="35" t="s">
        <v>12</v>
      </c>
      <c r="I11" s="36">
        <f t="shared" si="5"/>
        <v>10381660.519967355</v>
      </c>
      <c r="J11" s="37">
        <v>2757083055</v>
      </c>
      <c r="K11" s="39" t="s">
        <v>10</v>
      </c>
      <c r="L11" s="39">
        <v>1000</v>
      </c>
      <c r="M11" s="39" t="s">
        <v>11</v>
      </c>
      <c r="N11" s="40">
        <v>3.6</v>
      </c>
      <c r="O11" s="38" t="s">
        <v>12</v>
      </c>
      <c r="P11" s="41">
        <f t="shared" si="6"/>
        <v>9925498.9980000015</v>
      </c>
      <c r="Q11" s="42">
        <f t="shared" si="7"/>
        <v>300709757</v>
      </c>
      <c r="R11" s="43">
        <f t="shared" si="8"/>
        <v>-0.20485155200000005</v>
      </c>
      <c r="S11" s="44">
        <f t="shared" si="9"/>
        <v>456161.5219673533</v>
      </c>
    </row>
    <row r="12" spans="1:19" x14ac:dyDescent="0.25">
      <c r="A12" s="29" t="s">
        <v>23</v>
      </c>
      <c r="B12" s="29" t="s">
        <v>9</v>
      </c>
      <c r="C12" s="30">
        <v>3057792812</v>
      </c>
      <c r="D12" s="31" t="s">
        <v>10</v>
      </c>
      <c r="E12" s="32">
        <v>1000</v>
      </c>
      <c r="F12" s="33" t="s">
        <v>11</v>
      </c>
      <c r="G12" s="34">
        <v>0.40396116609999999</v>
      </c>
      <c r="H12" s="35" t="s">
        <v>12</v>
      </c>
      <c r="I12" s="36">
        <f t="shared" si="5"/>
        <v>1235229.5500277181</v>
      </c>
      <c r="J12" s="37">
        <v>2757083055</v>
      </c>
      <c r="K12" s="39" t="s">
        <v>10</v>
      </c>
      <c r="L12" s="39">
        <v>1000</v>
      </c>
      <c r="M12" s="39" t="s">
        <v>11</v>
      </c>
      <c r="N12" s="40">
        <v>0.4307349385</v>
      </c>
      <c r="O12" s="38" t="s">
        <v>12</v>
      </c>
      <c r="P12" s="41">
        <f t="shared" si="6"/>
        <v>1187572.0001348171</v>
      </c>
      <c r="Q12" s="42">
        <f t="shared" si="7"/>
        <v>300709757</v>
      </c>
      <c r="R12" s="43">
        <f t="shared" si="8"/>
        <v>-2.6773772400000007E-2</v>
      </c>
      <c r="S12" s="44">
        <f t="shared" si="9"/>
        <v>47657.549892900977</v>
      </c>
    </row>
    <row r="13" spans="1:19" x14ac:dyDescent="0.25">
      <c r="A13" s="29" t="s">
        <v>24</v>
      </c>
      <c r="B13" s="29" t="s">
        <v>19</v>
      </c>
      <c r="C13" s="30">
        <v>3042304412</v>
      </c>
      <c r="D13" s="31" t="s">
        <v>10</v>
      </c>
      <c r="E13" s="32">
        <v>1000</v>
      </c>
      <c r="F13" s="33" t="s">
        <v>11</v>
      </c>
      <c r="G13" s="34">
        <v>0.20579600140000001</v>
      </c>
      <c r="H13" s="35" t="s">
        <v>12</v>
      </c>
      <c r="I13" s="36">
        <f t="shared" si="5"/>
        <v>626094.08303117822</v>
      </c>
      <c r="J13" s="37">
        <v>2742501293</v>
      </c>
      <c r="K13" s="39" t="s">
        <v>10</v>
      </c>
      <c r="L13" s="39">
        <v>1000</v>
      </c>
      <c r="M13" s="39" t="s">
        <v>11</v>
      </c>
      <c r="N13" s="40">
        <v>0.22829964750000001</v>
      </c>
      <c r="O13" s="38" t="s">
        <v>12</v>
      </c>
      <c r="P13" s="41">
        <f t="shared" si="6"/>
        <v>626112.07846019429</v>
      </c>
      <c r="Q13" s="42">
        <f t="shared" si="7"/>
        <v>299803119</v>
      </c>
      <c r="R13" s="43">
        <f t="shared" si="8"/>
        <v>-2.2503646099999997E-2</v>
      </c>
      <c r="S13" s="44">
        <f t="shared" si="9"/>
        <v>-17.995429016067646</v>
      </c>
    </row>
    <row r="14" spans="1:19" x14ac:dyDescent="0.25">
      <c r="A14" s="45" t="s">
        <v>25</v>
      </c>
      <c r="B14" s="45" t="s">
        <v>9</v>
      </c>
      <c r="C14" s="46">
        <v>289029309</v>
      </c>
      <c r="D14" s="47" t="s">
        <v>10</v>
      </c>
      <c r="E14" s="48">
        <v>1000</v>
      </c>
      <c r="F14" s="49" t="s">
        <v>11</v>
      </c>
      <c r="G14" s="50">
        <v>1.4029177228</v>
      </c>
      <c r="H14" s="51" t="s">
        <v>12</v>
      </c>
      <c r="I14" s="52">
        <f t="shared" si="5"/>
        <v>405484.34000473755</v>
      </c>
      <c r="J14" s="53">
        <v>255348632</v>
      </c>
      <c r="K14" s="55" t="s">
        <v>10</v>
      </c>
      <c r="L14" s="55">
        <v>1000</v>
      </c>
      <c r="M14" s="55" t="s">
        <v>11</v>
      </c>
      <c r="N14" s="56">
        <v>1.4707419306</v>
      </c>
      <c r="O14" s="54" t="s">
        <v>12</v>
      </c>
      <c r="P14" s="57">
        <f t="shared" si="6"/>
        <v>375551.94000374898</v>
      </c>
      <c r="Q14" s="58">
        <f t="shared" si="7"/>
        <v>33680677</v>
      </c>
      <c r="R14" s="59">
        <f t="shared" si="8"/>
        <v>-6.782420779999998E-2</v>
      </c>
      <c r="S14" s="60">
        <f t="shared" si="9"/>
        <v>29932.400000988564</v>
      </c>
    </row>
    <row r="15" spans="1:19" x14ac:dyDescent="0.25">
      <c r="A15" s="29" t="s">
        <v>26</v>
      </c>
      <c r="B15" s="29" t="s">
        <v>9</v>
      </c>
      <c r="C15" s="30">
        <v>799996361</v>
      </c>
      <c r="D15" s="31" t="s">
        <v>10</v>
      </c>
      <c r="E15" s="32">
        <v>1000</v>
      </c>
      <c r="F15" s="33" t="s">
        <v>11</v>
      </c>
      <c r="G15" s="34">
        <v>1.143512289</v>
      </c>
      <c r="H15" s="35" t="s">
        <v>12</v>
      </c>
      <c r="I15" s="36">
        <f t="shared" si="5"/>
        <v>914805.6699587804</v>
      </c>
      <c r="J15" s="37">
        <v>707009098</v>
      </c>
      <c r="K15" s="39" t="s">
        <v>10</v>
      </c>
      <c r="L15" s="39">
        <v>1000</v>
      </c>
      <c r="M15" s="39" t="s">
        <v>11</v>
      </c>
      <c r="N15" s="40">
        <v>1.2199774407999999</v>
      </c>
      <c r="O15" s="38" t="s">
        <v>12</v>
      </c>
      <c r="P15" s="41">
        <f t="shared" si="6"/>
        <v>862535.15000035637</v>
      </c>
      <c r="Q15" s="42">
        <f t="shared" si="7"/>
        <v>92987263</v>
      </c>
      <c r="R15" s="43">
        <f t="shared" si="8"/>
        <v>-7.6465151799999909E-2</v>
      </c>
      <c r="S15" s="44">
        <f t="shared" si="9"/>
        <v>52270.519958424033</v>
      </c>
    </row>
    <row r="16" spans="1:19" x14ac:dyDescent="0.25">
      <c r="A16" s="45" t="s">
        <v>27</v>
      </c>
      <c r="B16" s="45" t="s">
        <v>9</v>
      </c>
      <c r="C16" s="46">
        <v>15812154819</v>
      </c>
      <c r="D16" s="47" t="s">
        <v>10</v>
      </c>
      <c r="E16" s="48">
        <v>1000</v>
      </c>
      <c r="F16" s="49" t="s">
        <v>11</v>
      </c>
      <c r="G16" s="50">
        <v>2.7996029633999999</v>
      </c>
      <c r="H16" s="51" t="s">
        <v>12</v>
      </c>
      <c r="I16" s="52">
        <f t="shared" si="5"/>
        <v>44267755.489011988</v>
      </c>
      <c r="J16" s="53">
        <v>14326177779</v>
      </c>
      <c r="K16" s="55" t="s">
        <v>10</v>
      </c>
      <c r="L16" s="55">
        <v>1000</v>
      </c>
      <c r="M16" s="55" t="s">
        <v>11</v>
      </c>
      <c r="N16" s="56">
        <v>3.0221065092999999</v>
      </c>
      <c r="O16" s="54" t="s">
        <v>12</v>
      </c>
      <c r="P16" s="57">
        <f t="shared" si="6"/>
        <v>43295235.11930491</v>
      </c>
      <c r="Q16" s="58">
        <f t="shared" si="7"/>
        <v>1485977040</v>
      </c>
      <c r="R16" s="59">
        <f t="shared" si="8"/>
        <v>-0.22250354589999999</v>
      </c>
      <c r="S16" s="60">
        <f t="shared" si="9"/>
        <v>972520.36970707774</v>
      </c>
    </row>
    <row r="17" spans="1:19" x14ac:dyDescent="0.25">
      <c r="A17" s="29" t="s">
        <v>28</v>
      </c>
      <c r="B17" s="29" t="s">
        <v>9</v>
      </c>
      <c r="C17" s="30">
        <v>1458273421</v>
      </c>
      <c r="D17" s="31" t="s">
        <v>10</v>
      </c>
      <c r="E17" s="32">
        <v>1000</v>
      </c>
      <c r="F17" s="33" t="s">
        <v>11</v>
      </c>
      <c r="G17" s="34">
        <v>2.7584127038000004</v>
      </c>
      <c r="H17" s="35" t="s">
        <v>12</v>
      </c>
      <c r="I17" s="36">
        <f t="shared" si="5"/>
        <v>4022519.9301002864</v>
      </c>
      <c r="J17" s="37">
        <v>1294782136</v>
      </c>
      <c r="K17" s="39" t="s">
        <v>10</v>
      </c>
      <c r="L17" s="39">
        <v>1000</v>
      </c>
      <c r="M17" s="39" t="s">
        <v>11</v>
      </c>
      <c r="N17" s="40">
        <v>2.9029212216000002</v>
      </c>
      <c r="O17" s="38" t="s">
        <v>12</v>
      </c>
      <c r="P17" s="41">
        <f t="shared" si="6"/>
        <v>3758650.5399429775</v>
      </c>
      <c r="Q17" s="42">
        <f t="shared" si="7"/>
        <v>163491285</v>
      </c>
      <c r="R17" s="43">
        <f t="shared" si="8"/>
        <v>-0.14450851779999985</v>
      </c>
      <c r="S17" s="44">
        <f t="shared" si="9"/>
        <v>263869.3901573089</v>
      </c>
    </row>
    <row r="18" spans="1:19" x14ac:dyDescent="0.25">
      <c r="A18" s="29" t="s">
        <v>29</v>
      </c>
      <c r="B18" s="29" t="s">
        <v>9</v>
      </c>
      <c r="C18" s="30">
        <v>1458273421</v>
      </c>
      <c r="D18" s="31" t="s">
        <v>10</v>
      </c>
      <c r="E18" s="32">
        <v>1000</v>
      </c>
      <c r="F18" s="33" t="s">
        <v>11</v>
      </c>
      <c r="G18" s="34">
        <v>0.4516743366</v>
      </c>
      <c r="H18" s="35" t="s">
        <v>12</v>
      </c>
      <c r="I18" s="36">
        <f t="shared" si="5"/>
        <v>658664.68001158757</v>
      </c>
      <c r="J18" s="37">
        <v>1294782136</v>
      </c>
      <c r="K18" s="39" t="s">
        <v>10</v>
      </c>
      <c r="L18" s="39">
        <v>1000</v>
      </c>
      <c r="M18" s="39" t="s">
        <v>11</v>
      </c>
      <c r="N18" s="40">
        <v>0.49282372860000001</v>
      </c>
      <c r="O18" s="38" t="s">
        <v>12</v>
      </c>
      <c r="P18" s="41">
        <f t="shared" si="6"/>
        <v>638099.35998819233</v>
      </c>
      <c r="Q18" s="42">
        <f t="shared" si="7"/>
        <v>163491285</v>
      </c>
      <c r="R18" s="43">
        <f t="shared" si="8"/>
        <v>-4.1149392000000007E-2</v>
      </c>
      <c r="S18" s="44">
        <f t="shared" si="9"/>
        <v>20565.320023395238</v>
      </c>
    </row>
    <row r="19" spans="1:19" ht="30" x14ac:dyDescent="0.25">
      <c r="A19" s="88" t="s">
        <v>30</v>
      </c>
      <c r="B19" s="29" t="s">
        <v>19</v>
      </c>
      <c r="C19" s="30">
        <v>1443234911</v>
      </c>
      <c r="D19" s="31" t="s">
        <v>10</v>
      </c>
      <c r="E19" s="32">
        <v>1000</v>
      </c>
      <c r="F19" s="33" t="s">
        <v>11</v>
      </c>
      <c r="G19" s="34">
        <v>9.0075426400000005E-2</v>
      </c>
      <c r="H19" s="35" t="s">
        <v>12</v>
      </c>
      <c r="I19" s="36">
        <f t="shared" si="5"/>
        <v>130000.00000369106</v>
      </c>
      <c r="J19" s="37">
        <v>1281344493</v>
      </c>
      <c r="K19" s="39" t="s">
        <v>10</v>
      </c>
      <c r="L19" s="39">
        <v>1000</v>
      </c>
      <c r="M19" s="39" t="s">
        <v>11</v>
      </c>
      <c r="N19" s="40">
        <v>0.15998820080000001</v>
      </c>
      <c r="O19" s="38" t="s">
        <v>12</v>
      </c>
      <c r="P19" s="41">
        <f t="shared" si="6"/>
        <v>205000.00004005822</v>
      </c>
      <c r="Q19" s="42">
        <f t="shared" si="7"/>
        <v>161890418</v>
      </c>
      <c r="R19" s="43">
        <f t="shared" si="8"/>
        <v>-6.9912774400000002E-2</v>
      </c>
      <c r="S19" s="44">
        <f t="shared" si="9"/>
        <v>-75000.000036367157</v>
      </c>
    </row>
    <row r="20" spans="1:19" x14ac:dyDescent="0.25">
      <c r="A20" s="45" t="s">
        <v>31</v>
      </c>
      <c r="B20" s="45" t="s">
        <v>9</v>
      </c>
      <c r="C20" s="46">
        <v>7058421</v>
      </c>
      <c r="D20" s="47" t="s">
        <v>10</v>
      </c>
      <c r="E20" s="48">
        <v>1000</v>
      </c>
      <c r="F20" s="49" t="s">
        <v>11</v>
      </c>
      <c r="G20" s="50">
        <v>2.1509460000000002</v>
      </c>
      <c r="H20" s="51" t="s">
        <v>12</v>
      </c>
      <c r="I20" s="52">
        <f t="shared" si="5"/>
        <v>15182.282416266002</v>
      </c>
      <c r="J20" s="53">
        <v>6346529</v>
      </c>
      <c r="K20" s="55" t="s">
        <v>10</v>
      </c>
      <c r="L20" s="55">
        <v>1000</v>
      </c>
      <c r="M20" s="55" t="s">
        <v>11</v>
      </c>
      <c r="N20" s="56">
        <v>2.2332670000000001</v>
      </c>
      <c r="O20" s="54" t="s">
        <v>12</v>
      </c>
      <c r="P20" s="57">
        <f t="shared" si="6"/>
        <v>14173.493780243001</v>
      </c>
      <c r="Q20" s="58">
        <f t="shared" si="7"/>
        <v>711892</v>
      </c>
      <c r="R20" s="59">
        <f t="shared" si="8"/>
        <v>-8.2320999999999867E-2</v>
      </c>
      <c r="S20" s="60">
        <f t="shared" si="9"/>
        <v>1008.7886360230004</v>
      </c>
    </row>
    <row r="21" spans="1:19" x14ac:dyDescent="0.25">
      <c r="A21" s="118" t="s">
        <v>85</v>
      </c>
      <c r="B21" s="29" t="s">
        <v>9</v>
      </c>
      <c r="C21" s="30">
        <v>82005313</v>
      </c>
      <c r="D21" s="31" t="s">
        <v>10</v>
      </c>
      <c r="E21" s="32">
        <v>1000</v>
      </c>
      <c r="F21" s="33" t="s">
        <v>11</v>
      </c>
      <c r="G21" s="34">
        <v>2.1488290322000001</v>
      </c>
      <c r="H21" s="35" t="s">
        <v>12</v>
      </c>
      <c r="I21" s="36">
        <f t="shared" si="5"/>
        <v>176215.39736904806</v>
      </c>
      <c r="J21" s="37">
        <v>75306822</v>
      </c>
      <c r="K21" s="39" t="s">
        <v>10</v>
      </c>
      <c r="L21" s="39">
        <v>1000</v>
      </c>
      <c r="M21" s="39" t="s">
        <v>11</v>
      </c>
      <c r="N21" s="40">
        <v>2.1145657958999999</v>
      </c>
      <c r="O21" s="38" t="s">
        <v>12</v>
      </c>
      <c r="P21" s="41">
        <f t="shared" si="6"/>
        <v>159241.22999912963</v>
      </c>
      <c r="Q21" s="42">
        <f t="shared" si="7"/>
        <v>6698491</v>
      </c>
      <c r="R21" s="43">
        <f t="shared" si="8"/>
        <v>3.4263236300000166E-2</v>
      </c>
      <c r="S21" s="44">
        <f t="shared" si="9"/>
        <v>16974.167369918432</v>
      </c>
    </row>
    <row r="22" spans="1:19" x14ac:dyDescent="0.25">
      <c r="A22" s="118" t="s">
        <v>86</v>
      </c>
      <c r="B22" s="29" t="s">
        <v>9</v>
      </c>
      <c r="C22" s="30">
        <v>82005313</v>
      </c>
      <c r="D22" s="31" t="s">
        <v>10</v>
      </c>
      <c r="E22" s="32">
        <v>1000</v>
      </c>
      <c r="F22" s="33" t="s">
        <v>11</v>
      </c>
      <c r="G22" s="34">
        <v>0.5</v>
      </c>
      <c r="H22" s="35" t="s">
        <v>12</v>
      </c>
      <c r="I22" s="36">
        <f t="shared" si="5"/>
        <v>41002.656499999997</v>
      </c>
      <c r="J22" s="37">
        <v>75306822</v>
      </c>
      <c r="K22" s="39" t="s">
        <v>10</v>
      </c>
      <c r="L22" s="39">
        <v>1000</v>
      </c>
      <c r="M22" s="39" t="s">
        <v>11</v>
      </c>
      <c r="N22" s="40">
        <v>0.49999998670000001</v>
      </c>
      <c r="O22" s="38" t="s">
        <v>12</v>
      </c>
      <c r="P22" s="41">
        <f t="shared" si="6"/>
        <v>37653.409998419265</v>
      </c>
      <c r="Q22" s="42">
        <f t="shared" si="7"/>
        <v>6698491</v>
      </c>
      <c r="R22" s="43">
        <f t="shared" si="8"/>
        <v>1.329999999022391E-8</v>
      </c>
      <c r="S22" s="44">
        <f t="shared" si="9"/>
        <v>3349.246501580732</v>
      </c>
    </row>
    <row r="23" spans="1:19" ht="15.75" thickBot="1" x14ac:dyDescent="0.3">
      <c r="A23" s="118" t="s">
        <v>87</v>
      </c>
      <c r="B23" s="118" t="s">
        <v>19</v>
      </c>
      <c r="C23" s="30">
        <v>80599557</v>
      </c>
      <c r="D23" s="31" t="s">
        <v>10</v>
      </c>
      <c r="E23" s="32">
        <v>1000</v>
      </c>
      <c r="F23" s="33" t="s">
        <v>11</v>
      </c>
      <c r="G23" s="34">
        <v>1.3928116255</v>
      </c>
      <c r="H23" s="35" t="s">
        <v>12</v>
      </c>
      <c r="I23" s="36">
        <f t="shared" si="5"/>
        <v>112259.99999974991</v>
      </c>
      <c r="J23" s="37">
        <v>74067222</v>
      </c>
      <c r="K23" s="39" t="s">
        <v>10</v>
      </c>
      <c r="L23" s="39">
        <v>1000</v>
      </c>
      <c r="M23" s="39" t="s">
        <v>11</v>
      </c>
      <c r="N23" s="40">
        <v>0</v>
      </c>
      <c r="O23" s="38" t="s">
        <v>12</v>
      </c>
      <c r="P23" s="41">
        <f t="shared" si="6"/>
        <v>0</v>
      </c>
      <c r="Q23" s="42">
        <f t="shared" si="7"/>
        <v>6532335</v>
      </c>
      <c r="R23" s="43">
        <f t="shared" si="8"/>
        <v>1.3928116255</v>
      </c>
      <c r="S23" s="44">
        <f t="shared" si="9"/>
        <v>112259.99999974991</v>
      </c>
    </row>
    <row r="24" spans="1:19" ht="15.75" thickBot="1" x14ac:dyDescent="0.3">
      <c r="A24" s="78" t="s">
        <v>32</v>
      </c>
      <c r="B24" s="79"/>
      <c r="C24" s="80"/>
      <c r="D24" s="81"/>
      <c r="E24" s="82"/>
      <c r="F24" s="83"/>
      <c r="G24" s="84"/>
      <c r="H24" s="85"/>
      <c r="I24" s="85"/>
      <c r="J24" s="80"/>
      <c r="K24" s="80"/>
      <c r="L24" s="80"/>
      <c r="M24" s="80"/>
      <c r="N24" s="80"/>
      <c r="O24" s="80"/>
      <c r="P24" s="80"/>
      <c r="Q24" s="86"/>
      <c r="R24" s="86"/>
      <c r="S24" s="87"/>
    </row>
    <row r="25" spans="1:19" x14ac:dyDescent="0.25">
      <c r="A25" s="89" t="s">
        <v>33</v>
      </c>
      <c r="B25" s="89" t="s">
        <v>19</v>
      </c>
      <c r="C25" s="13">
        <v>13745563541</v>
      </c>
      <c r="D25" s="47" t="s">
        <v>10</v>
      </c>
      <c r="E25" s="48">
        <v>1000</v>
      </c>
      <c r="F25" s="49" t="s">
        <v>11</v>
      </c>
      <c r="G25" s="17">
        <v>3.2553931242999998</v>
      </c>
      <c r="H25" s="51" t="s">
        <v>12</v>
      </c>
      <c r="I25" s="52">
        <f t="shared" ref="I25:I50" si="10">C25/E25*G25</f>
        <v>44747213.041000158</v>
      </c>
      <c r="J25" s="53">
        <v>12409984975</v>
      </c>
      <c r="K25" s="55" t="s">
        <v>10</v>
      </c>
      <c r="L25" s="55">
        <v>1000</v>
      </c>
      <c r="M25" s="55" t="s">
        <v>11</v>
      </c>
      <c r="N25" s="56">
        <v>3.5607700136</v>
      </c>
      <c r="O25" s="54" t="s">
        <v>12</v>
      </c>
      <c r="P25" s="57">
        <f t="shared" ref="P25:P50" si="11">J25/L25*N25</f>
        <v>44189102.368206546</v>
      </c>
      <c r="Q25" s="58">
        <f t="shared" ref="Q25:Q38" si="12">C25-J25</f>
        <v>1335578566</v>
      </c>
      <c r="R25" s="59">
        <f t="shared" ref="R25:R50" si="13">G25-N25</f>
        <v>-0.30537688930000018</v>
      </c>
      <c r="S25" s="60">
        <f t="shared" ref="S25:S50" si="14">I25-P25</f>
        <v>558110.67279361188</v>
      </c>
    </row>
    <row r="26" spans="1:19" x14ac:dyDescent="0.25">
      <c r="A26" s="12" t="s">
        <v>34</v>
      </c>
      <c r="B26" s="45" t="s">
        <v>19</v>
      </c>
      <c r="C26" s="13">
        <v>13745563541</v>
      </c>
      <c r="D26" s="47" t="s">
        <v>10</v>
      </c>
      <c r="E26" s="48">
        <v>1000</v>
      </c>
      <c r="F26" s="49" t="s">
        <v>11</v>
      </c>
      <c r="G26" s="17">
        <v>1.5741042508</v>
      </c>
      <c r="H26" s="51" t="s">
        <v>12</v>
      </c>
      <c r="I26" s="52">
        <f t="shared" si="10"/>
        <v>21636949.9995296</v>
      </c>
      <c r="J26" s="53">
        <v>12409984975</v>
      </c>
      <c r="K26" s="55" t="s">
        <v>10</v>
      </c>
      <c r="L26" s="55">
        <v>1000</v>
      </c>
      <c r="M26" s="55" t="s">
        <v>11</v>
      </c>
      <c r="N26" s="56">
        <v>1.7414183856000001</v>
      </c>
      <c r="O26" s="54" t="s">
        <v>12</v>
      </c>
      <c r="P26" s="57">
        <f t="shared" si="11"/>
        <v>21610976.000484757</v>
      </c>
      <c r="Q26" s="58">
        <f t="shared" si="12"/>
        <v>1335578566</v>
      </c>
      <c r="R26" s="59">
        <f t="shared" si="13"/>
        <v>-0.16731413480000001</v>
      </c>
      <c r="S26" s="60">
        <f t="shared" si="14"/>
        <v>25973.999044843018</v>
      </c>
    </row>
    <row r="27" spans="1:19" x14ac:dyDescent="0.25">
      <c r="A27" s="12" t="s">
        <v>35</v>
      </c>
      <c r="B27" s="45" t="s">
        <v>19</v>
      </c>
      <c r="C27" s="13">
        <v>13745563541</v>
      </c>
      <c r="D27" s="47" t="s">
        <v>10</v>
      </c>
      <c r="E27" s="48">
        <v>1000</v>
      </c>
      <c r="F27" s="49" t="s">
        <v>11</v>
      </c>
      <c r="G27" s="17">
        <v>0.29100298349999998</v>
      </c>
      <c r="H27" s="51" t="s">
        <v>12</v>
      </c>
      <c r="I27" s="52">
        <f t="shared" si="10"/>
        <v>4000000.0003198241</v>
      </c>
      <c r="J27" s="53">
        <v>12409984975</v>
      </c>
      <c r="K27" s="55" t="s">
        <v>10</v>
      </c>
      <c r="L27" s="55">
        <v>1000</v>
      </c>
      <c r="M27" s="55" t="s">
        <v>11</v>
      </c>
      <c r="N27" s="56">
        <v>0.32232109930000002</v>
      </c>
      <c r="O27" s="54" t="s">
        <v>12</v>
      </c>
      <c r="P27" s="57">
        <f t="shared" si="11"/>
        <v>3999999.9994384833</v>
      </c>
      <c r="Q27" s="58">
        <f t="shared" si="12"/>
        <v>1335578566</v>
      </c>
      <c r="R27" s="59">
        <f t="shared" si="13"/>
        <v>-3.1318115800000046E-2</v>
      </c>
      <c r="S27" s="60">
        <f t="shared" si="14"/>
        <v>8.8134082034230232E-4</v>
      </c>
    </row>
    <row r="28" spans="1:19" x14ac:dyDescent="0.25">
      <c r="A28" s="29" t="s">
        <v>36</v>
      </c>
      <c r="B28" s="29" t="s">
        <v>19</v>
      </c>
      <c r="C28" s="30">
        <v>2648934</v>
      </c>
      <c r="D28" s="31" t="s">
        <v>10</v>
      </c>
      <c r="E28" s="32">
        <v>1000</v>
      </c>
      <c r="F28" s="33" t="s">
        <v>11</v>
      </c>
      <c r="G28" s="34">
        <v>3.6415894988000002</v>
      </c>
      <c r="H28" s="35" t="s">
        <v>12</v>
      </c>
      <c r="I28" s="36">
        <f t="shared" si="10"/>
        <v>9646.3302374142804</v>
      </c>
      <c r="J28" s="37">
        <v>2570274</v>
      </c>
      <c r="K28" s="39" t="s">
        <v>10</v>
      </c>
      <c r="L28" s="39">
        <v>1000</v>
      </c>
      <c r="M28" s="39" t="s">
        <v>11</v>
      </c>
      <c r="N28" s="40">
        <v>0</v>
      </c>
      <c r="O28" s="38" t="s">
        <v>12</v>
      </c>
      <c r="P28" s="41">
        <f t="shared" si="11"/>
        <v>0</v>
      </c>
      <c r="Q28" s="42">
        <f t="shared" si="12"/>
        <v>78660</v>
      </c>
      <c r="R28" s="43">
        <f t="shared" si="13"/>
        <v>3.6415894988000002</v>
      </c>
      <c r="S28" s="44">
        <f t="shared" si="14"/>
        <v>9646.3302374142804</v>
      </c>
    </row>
    <row r="29" spans="1:19" x14ac:dyDescent="0.25">
      <c r="A29" s="45" t="s">
        <v>37</v>
      </c>
      <c r="B29" s="45" t="s">
        <v>19</v>
      </c>
      <c r="C29" s="46">
        <v>991028837</v>
      </c>
      <c r="D29" s="47" t="s">
        <v>10</v>
      </c>
      <c r="E29" s="48">
        <v>1000</v>
      </c>
      <c r="F29" s="49" t="s">
        <v>11</v>
      </c>
      <c r="G29" s="50">
        <v>3.3315174707000001</v>
      </c>
      <c r="H29" s="51" t="s">
        <v>12</v>
      </c>
      <c r="I29" s="52">
        <f t="shared" si="10"/>
        <v>3301629.8844330031</v>
      </c>
      <c r="J29" s="53">
        <v>895319651</v>
      </c>
      <c r="K29" s="55" t="s">
        <v>10</v>
      </c>
      <c r="L29" s="55">
        <v>1000</v>
      </c>
      <c r="M29" s="55" t="s">
        <v>11</v>
      </c>
      <c r="N29" s="56">
        <v>3.7320456774999999</v>
      </c>
      <c r="O29" s="54" t="s">
        <v>12</v>
      </c>
      <c r="P29" s="57">
        <f t="shared" si="11"/>
        <v>3341373.8334953585</v>
      </c>
      <c r="Q29" s="58">
        <f t="shared" si="12"/>
        <v>95709186</v>
      </c>
      <c r="R29" s="59">
        <f t="shared" si="13"/>
        <v>-0.40052820679999979</v>
      </c>
      <c r="S29" s="60">
        <f t="shared" si="14"/>
        <v>-39743.949062355328</v>
      </c>
    </row>
    <row r="30" spans="1:19" x14ac:dyDescent="0.25">
      <c r="A30" s="45" t="s">
        <v>38</v>
      </c>
      <c r="B30" s="45" t="s">
        <v>19</v>
      </c>
      <c r="C30" s="46">
        <v>991028837</v>
      </c>
      <c r="D30" s="47" t="s">
        <v>10</v>
      </c>
      <c r="E30" s="48">
        <v>1000</v>
      </c>
      <c r="F30" s="49" t="s">
        <v>11</v>
      </c>
      <c r="G30" s="50">
        <v>1.8349640749</v>
      </c>
      <c r="H30" s="51" t="s">
        <v>12</v>
      </c>
      <c r="I30" s="52">
        <f t="shared" si="10"/>
        <v>1818502.3130849281</v>
      </c>
      <c r="J30" s="53">
        <v>895319651</v>
      </c>
      <c r="K30" s="55" t="s">
        <v>10</v>
      </c>
      <c r="L30" s="55">
        <v>1000</v>
      </c>
      <c r="M30" s="55" t="s">
        <v>11</v>
      </c>
      <c r="N30" s="56">
        <v>2.7051732332</v>
      </c>
      <c r="O30" s="54" t="s">
        <v>12</v>
      </c>
      <c r="P30" s="57">
        <f t="shared" si="11"/>
        <v>2421994.7550431653</v>
      </c>
      <c r="Q30" s="58">
        <f t="shared" si="12"/>
        <v>95709186</v>
      </c>
      <c r="R30" s="59">
        <f t="shared" si="13"/>
        <v>-0.87020915830000001</v>
      </c>
      <c r="S30" s="60">
        <f t="shared" si="14"/>
        <v>-603492.44195823721</v>
      </c>
    </row>
    <row r="31" spans="1:19" x14ac:dyDescent="0.25">
      <c r="A31" s="45" t="s">
        <v>39</v>
      </c>
      <c r="B31" s="45" t="s">
        <v>19</v>
      </c>
      <c r="C31" s="46">
        <v>991028837</v>
      </c>
      <c r="D31" s="47" t="s">
        <v>10</v>
      </c>
      <c r="E31" s="48">
        <v>1000</v>
      </c>
      <c r="F31" s="49" t="s">
        <v>11</v>
      </c>
      <c r="G31" s="50">
        <v>0.4987588523</v>
      </c>
      <c r="H31" s="51" t="s">
        <v>12</v>
      </c>
      <c r="I31" s="52">
        <f t="shared" si="10"/>
        <v>494284.40533832379</v>
      </c>
      <c r="J31" s="53">
        <v>895319651</v>
      </c>
      <c r="K31" s="55" t="s">
        <v>10</v>
      </c>
      <c r="L31" s="55">
        <v>1000</v>
      </c>
      <c r="M31" s="55" t="s">
        <v>11</v>
      </c>
      <c r="N31" s="56">
        <v>0.56537567369999997</v>
      </c>
      <c r="O31" s="54" t="s">
        <v>12</v>
      </c>
      <c r="P31" s="57">
        <f t="shared" si="11"/>
        <v>506191.95086097386</v>
      </c>
      <c r="Q31" s="58">
        <f t="shared" si="12"/>
        <v>95709186</v>
      </c>
      <c r="R31" s="59">
        <f t="shared" si="13"/>
        <v>-6.661682139999997E-2</v>
      </c>
      <c r="S31" s="60">
        <f t="shared" si="14"/>
        <v>-11907.545522650064</v>
      </c>
    </row>
    <row r="32" spans="1:19" x14ac:dyDescent="0.25">
      <c r="A32" s="29" t="s">
        <v>40</v>
      </c>
      <c r="B32" s="29" t="s">
        <v>19</v>
      </c>
      <c r="C32" s="30">
        <v>822058395</v>
      </c>
      <c r="D32" s="31" t="s">
        <v>10</v>
      </c>
      <c r="E32" s="32">
        <v>1000</v>
      </c>
      <c r="F32" s="33" t="s">
        <v>11</v>
      </c>
      <c r="G32" s="34">
        <v>3.0980401613999997</v>
      </c>
      <c r="H32" s="35" t="s">
        <v>12</v>
      </c>
      <c r="I32" s="36">
        <f t="shared" si="10"/>
        <v>2546769.9227260249</v>
      </c>
      <c r="J32" s="37">
        <v>729846399</v>
      </c>
      <c r="K32" s="39" t="s">
        <v>10</v>
      </c>
      <c r="L32" s="39">
        <v>1000</v>
      </c>
      <c r="M32" s="39" t="s">
        <v>11</v>
      </c>
      <c r="N32" s="40">
        <v>3.5000665659000001</v>
      </c>
      <c r="O32" s="38" t="s">
        <v>12</v>
      </c>
      <c r="P32" s="41">
        <f t="shared" si="11"/>
        <v>2554510.9793824111</v>
      </c>
      <c r="Q32" s="42">
        <f t="shared" si="12"/>
        <v>92211996</v>
      </c>
      <c r="R32" s="43">
        <f t="shared" si="13"/>
        <v>-0.40202640450000038</v>
      </c>
      <c r="S32" s="44">
        <f t="shared" si="14"/>
        <v>-7741.0566563862376</v>
      </c>
    </row>
    <row r="33" spans="1:19" x14ac:dyDescent="0.25">
      <c r="A33" s="29" t="s">
        <v>41</v>
      </c>
      <c r="B33" s="29" t="s">
        <v>19</v>
      </c>
      <c r="C33" s="30">
        <v>822058395</v>
      </c>
      <c r="D33" s="31" t="s">
        <v>10</v>
      </c>
      <c r="E33" s="32">
        <v>1000</v>
      </c>
      <c r="F33" s="33" t="s">
        <v>11</v>
      </c>
      <c r="G33" s="34">
        <v>1.4855995705999998</v>
      </c>
      <c r="H33" s="35" t="s">
        <v>12</v>
      </c>
      <c r="I33" s="36">
        <f t="shared" si="10"/>
        <v>1221249.5986201251</v>
      </c>
      <c r="J33" s="37">
        <v>729846399</v>
      </c>
      <c r="K33" s="39" t="s">
        <v>10</v>
      </c>
      <c r="L33" s="39">
        <v>1000</v>
      </c>
      <c r="M33" s="39" t="s">
        <v>11</v>
      </c>
      <c r="N33" s="40">
        <v>1.6408390374999999</v>
      </c>
      <c r="O33" s="38" t="s">
        <v>12</v>
      </c>
      <c r="P33" s="41">
        <f t="shared" si="11"/>
        <v>1197560.4628580008</v>
      </c>
      <c r="Q33" s="42">
        <f t="shared" si="12"/>
        <v>92211996</v>
      </c>
      <c r="R33" s="43">
        <f t="shared" si="13"/>
        <v>-0.15523946690000012</v>
      </c>
      <c r="S33" s="44">
        <f t="shared" si="14"/>
        <v>23689.135762124322</v>
      </c>
    </row>
    <row r="34" spans="1:19" x14ac:dyDescent="0.25">
      <c r="A34" s="45" t="s">
        <v>42</v>
      </c>
      <c r="B34" s="45" t="s">
        <v>19</v>
      </c>
      <c r="C34" s="46">
        <v>156213811</v>
      </c>
      <c r="D34" s="47" t="s">
        <v>10</v>
      </c>
      <c r="E34" s="48">
        <v>1000</v>
      </c>
      <c r="F34" s="49" t="s">
        <v>11</v>
      </c>
      <c r="G34" s="50">
        <v>2.7565379999999999</v>
      </c>
      <c r="H34" s="51" t="s">
        <v>12</v>
      </c>
      <c r="I34" s="52">
        <f t="shared" si="10"/>
        <v>430609.30614631798</v>
      </c>
      <c r="J34" s="53">
        <v>140092807</v>
      </c>
      <c r="K34" s="55" t="s">
        <v>10</v>
      </c>
      <c r="L34" s="55">
        <v>1000</v>
      </c>
      <c r="M34" s="55" t="s">
        <v>11</v>
      </c>
      <c r="N34" s="56">
        <v>2.5712730000000001</v>
      </c>
      <c r="O34" s="54" t="s">
        <v>12</v>
      </c>
      <c r="P34" s="57">
        <f t="shared" si="11"/>
        <v>360216.85213331104</v>
      </c>
      <c r="Q34" s="58">
        <f t="shared" si="12"/>
        <v>16121004</v>
      </c>
      <c r="R34" s="59">
        <f t="shared" si="13"/>
        <v>0.18526499999999979</v>
      </c>
      <c r="S34" s="60">
        <f t="shared" si="14"/>
        <v>70392.454013006936</v>
      </c>
    </row>
    <row r="35" spans="1:19" x14ac:dyDescent="0.25">
      <c r="A35" s="45" t="s">
        <v>43</v>
      </c>
      <c r="B35" s="45" t="s">
        <v>19</v>
      </c>
      <c r="C35" s="46">
        <v>156213811</v>
      </c>
      <c r="D35" s="47" t="s">
        <v>10</v>
      </c>
      <c r="E35" s="48">
        <v>1000</v>
      </c>
      <c r="F35" s="49" t="s">
        <v>11</v>
      </c>
      <c r="G35" s="50">
        <v>1.8904339999999999</v>
      </c>
      <c r="H35" s="51" t="s">
        <v>12</v>
      </c>
      <c r="I35" s="52">
        <f t="shared" si="10"/>
        <v>295311.89958397398</v>
      </c>
      <c r="J35" s="53">
        <v>140092807</v>
      </c>
      <c r="K35" s="55" t="s">
        <v>10</v>
      </c>
      <c r="L35" s="55">
        <v>1000</v>
      </c>
      <c r="M35" s="55" t="s">
        <v>11</v>
      </c>
      <c r="N35" s="56">
        <v>2.1292582864999998</v>
      </c>
      <c r="O35" s="54" t="s">
        <v>12</v>
      </c>
      <c r="P35" s="57">
        <f t="shared" si="11"/>
        <v>298293.77018379519</v>
      </c>
      <c r="Q35" s="58">
        <f t="shared" si="12"/>
        <v>16121004</v>
      </c>
      <c r="R35" s="59">
        <f t="shared" si="13"/>
        <v>-0.23882428649999987</v>
      </c>
      <c r="S35" s="60">
        <f t="shared" si="14"/>
        <v>-2981.8705998212099</v>
      </c>
    </row>
    <row r="36" spans="1:19" x14ac:dyDescent="0.25">
      <c r="A36" s="29" t="s">
        <v>44</v>
      </c>
      <c r="B36" s="29" t="s">
        <v>19</v>
      </c>
      <c r="C36" s="30">
        <v>125574166</v>
      </c>
      <c r="D36" s="31" t="s">
        <v>10</v>
      </c>
      <c r="E36" s="32">
        <v>1000</v>
      </c>
      <c r="F36" s="33" t="s">
        <v>11</v>
      </c>
      <c r="G36" s="34">
        <v>2.9384364262999996</v>
      </c>
      <c r="H36" s="35" t="s">
        <v>12</v>
      </c>
      <c r="I36" s="36">
        <f t="shared" si="10"/>
        <v>368991.7035766429</v>
      </c>
      <c r="J36" s="37">
        <v>111672265</v>
      </c>
      <c r="K36" s="39" t="s">
        <v>10</v>
      </c>
      <c r="L36" s="39">
        <v>1000</v>
      </c>
      <c r="M36" s="39" t="s">
        <v>11</v>
      </c>
      <c r="N36" s="40">
        <v>3.5005663086999999</v>
      </c>
      <c r="O36" s="38" t="s">
        <v>12</v>
      </c>
      <c r="P36" s="41">
        <f t="shared" si="11"/>
        <v>390916.16847521818</v>
      </c>
      <c r="Q36" s="42">
        <f t="shared" si="12"/>
        <v>13901901</v>
      </c>
      <c r="R36" s="43">
        <f t="shared" si="13"/>
        <v>-0.56212988240000028</v>
      </c>
      <c r="S36" s="44">
        <f t="shared" si="14"/>
        <v>-21924.464898575272</v>
      </c>
    </row>
    <row r="37" spans="1:19" x14ac:dyDescent="0.25">
      <c r="A37" s="29" t="s">
        <v>45</v>
      </c>
      <c r="B37" s="29" t="s">
        <v>19</v>
      </c>
      <c r="C37" s="30">
        <v>125574166</v>
      </c>
      <c r="D37" s="31" t="s">
        <v>10</v>
      </c>
      <c r="E37" s="32">
        <v>1000</v>
      </c>
      <c r="F37" s="33" t="s">
        <v>11</v>
      </c>
      <c r="G37" s="34">
        <v>0</v>
      </c>
      <c r="H37" s="35" t="s">
        <v>12</v>
      </c>
      <c r="I37" s="36">
        <f t="shared" si="10"/>
        <v>0</v>
      </c>
      <c r="J37" s="37">
        <v>111672265</v>
      </c>
      <c r="K37" s="39" t="s">
        <v>10</v>
      </c>
      <c r="L37" s="39">
        <v>1000</v>
      </c>
      <c r="M37" s="39" t="s">
        <v>11</v>
      </c>
      <c r="N37" s="40">
        <v>0</v>
      </c>
      <c r="O37" s="38" t="s">
        <v>12</v>
      </c>
      <c r="P37" s="41">
        <f t="shared" si="11"/>
        <v>0</v>
      </c>
      <c r="Q37" s="42">
        <f t="shared" si="12"/>
        <v>13901901</v>
      </c>
      <c r="R37" s="43">
        <f t="shared" si="13"/>
        <v>0</v>
      </c>
      <c r="S37" s="44">
        <f t="shared" si="14"/>
        <v>0</v>
      </c>
    </row>
    <row r="38" spans="1:19" x14ac:dyDescent="0.25">
      <c r="A38" s="29" t="s">
        <v>46</v>
      </c>
      <c r="B38" s="29" t="s">
        <v>19</v>
      </c>
      <c r="C38" s="30">
        <v>125574166</v>
      </c>
      <c r="D38" s="31" t="s">
        <v>10</v>
      </c>
      <c r="E38" s="32">
        <v>1000</v>
      </c>
      <c r="F38" s="33" t="s">
        <v>11</v>
      </c>
      <c r="G38" s="34">
        <v>0.47717242560000001</v>
      </c>
      <c r="H38" s="35" t="s">
        <v>12</v>
      </c>
      <c r="I38" s="36">
        <f t="shared" si="10"/>
        <v>59920.529382917048</v>
      </c>
      <c r="J38" s="37">
        <v>111672265</v>
      </c>
      <c r="K38" s="39" t="s">
        <v>10</v>
      </c>
      <c r="L38" s="39">
        <v>1000</v>
      </c>
      <c r="M38" s="39" t="s">
        <v>11</v>
      </c>
      <c r="N38" s="40">
        <v>0.5983607702</v>
      </c>
      <c r="O38" s="38" t="s">
        <v>12</v>
      </c>
      <c r="P38" s="41">
        <f t="shared" si="11"/>
        <v>66820.302495378506</v>
      </c>
      <c r="Q38" s="42">
        <f t="shared" si="12"/>
        <v>13901901</v>
      </c>
      <c r="R38" s="43">
        <f t="shared" si="13"/>
        <v>-0.1211883446</v>
      </c>
      <c r="S38" s="44">
        <f t="shared" si="14"/>
        <v>-6899.7731124614584</v>
      </c>
    </row>
    <row r="39" spans="1:19" x14ac:dyDescent="0.25">
      <c r="A39" s="45" t="s">
        <v>47</v>
      </c>
      <c r="B39" s="45" t="s">
        <v>19</v>
      </c>
      <c r="C39" s="46">
        <v>1786104824</v>
      </c>
      <c r="D39" s="47" t="s">
        <v>10</v>
      </c>
      <c r="E39" s="48">
        <v>1000</v>
      </c>
      <c r="F39" s="49" t="s">
        <v>11</v>
      </c>
      <c r="G39" s="50">
        <v>3.0096220096000001</v>
      </c>
      <c r="H39" s="51" t="s">
        <v>12</v>
      </c>
      <c r="I39" s="52">
        <f t="shared" si="10"/>
        <v>5375500.3897631345</v>
      </c>
      <c r="J39" s="53">
        <v>1597499289</v>
      </c>
      <c r="K39" s="55" t="s">
        <v>10</v>
      </c>
      <c r="L39" s="55">
        <v>1000</v>
      </c>
      <c r="M39" s="55" t="s">
        <v>11</v>
      </c>
      <c r="N39" s="56">
        <v>2.6744294467</v>
      </c>
      <c r="O39" s="54" t="s">
        <v>12</v>
      </c>
      <c r="P39" s="57">
        <f t="shared" si="11"/>
        <v>4272399.1395839136</v>
      </c>
      <c r="Q39" s="58">
        <f t="shared" ref="Q39:Q50" si="15">C39-J39</f>
        <v>188605535</v>
      </c>
      <c r="R39" s="59">
        <f t="shared" si="13"/>
        <v>0.3351925629000001</v>
      </c>
      <c r="S39" s="60">
        <f t="shared" si="14"/>
        <v>1103101.2501792209</v>
      </c>
    </row>
    <row r="40" spans="1:19" x14ac:dyDescent="0.25">
      <c r="A40" s="45" t="s">
        <v>48</v>
      </c>
      <c r="B40" s="45" t="s">
        <v>19</v>
      </c>
      <c r="C40" s="46">
        <v>1786104824</v>
      </c>
      <c r="D40" s="47" t="s">
        <v>10</v>
      </c>
      <c r="E40" s="48">
        <v>1000</v>
      </c>
      <c r="F40" s="49" t="s">
        <v>11</v>
      </c>
      <c r="G40" s="50">
        <v>1.6654453533</v>
      </c>
      <c r="H40" s="51" t="s">
        <v>12</v>
      </c>
      <c r="I40" s="52">
        <f t="shared" si="10"/>
        <v>2974659.9796375143</v>
      </c>
      <c r="J40" s="53">
        <v>1597499289</v>
      </c>
      <c r="K40" s="55" t="s">
        <v>10</v>
      </c>
      <c r="L40" s="55">
        <v>1000</v>
      </c>
      <c r="M40" s="55" t="s">
        <v>11</v>
      </c>
      <c r="N40" s="56">
        <v>1.7791651494</v>
      </c>
      <c r="O40" s="54" t="s">
        <v>12</v>
      </c>
      <c r="P40" s="57">
        <f t="shared" si="11"/>
        <v>2842215.0611800789</v>
      </c>
      <c r="Q40" s="58">
        <f t="shared" si="15"/>
        <v>188605535</v>
      </c>
      <c r="R40" s="59">
        <f t="shared" si="13"/>
        <v>-0.11371979610000005</v>
      </c>
      <c r="S40" s="60">
        <f t="shared" si="14"/>
        <v>132444.91845743544</v>
      </c>
    </row>
    <row r="41" spans="1:19" x14ac:dyDescent="0.25">
      <c r="A41" s="45" t="s">
        <v>49</v>
      </c>
      <c r="B41" s="45" t="s">
        <v>19</v>
      </c>
      <c r="C41" s="46">
        <v>1786104824</v>
      </c>
      <c r="D41" s="47" t="s">
        <v>10</v>
      </c>
      <c r="E41" s="48">
        <v>1000</v>
      </c>
      <c r="F41" s="49" t="s">
        <v>11</v>
      </c>
      <c r="G41" s="50">
        <v>0.33261390619999998</v>
      </c>
      <c r="H41" s="51" t="s">
        <v>12</v>
      </c>
      <c r="I41" s="52">
        <f t="shared" si="10"/>
        <v>594083.30239330349</v>
      </c>
      <c r="J41" s="53">
        <v>1597499289</v>
      </c>
      <c r="K41" s="55" t="s">
        <v>10</v>
      </c>
      <c r="L41" s="55">
        <v>1000</v>
      </c>
      <c r="M41" s="55" t="s">
        <v>11</v>
      </c>
      <c r="N41" s="56">
        <v>0.1308209686</v>
      </c>
      <c r="O41" s="54" t="s">
        <v>12</v>
      </c>
      <c r="P41" s="57">
        <f t="shared" si="11"/>
        <v>208986.40432479134</v>
      </c>
      <c r="Q41" s="58">
        <f t="shared" si="15"/>
        <v>188605535</v>
      </c>
      <c r="R41" s="59">
        <f t="shared" si="13"/>
        <v>0.20179293759999997</v>
      </c>
      <c r="S41" s="60">
        <f t="shared" si="14"/>
        <v>385096.89806851215</v>
      </c>
    </row>
    <row r="42" spans="1:19" x14ac:dyDescent="0.25">
      <c r="A42" s="29" t="s">
        <v>50</v>
      </c>
      <c r="B42" s="29" t="s">
        <v>19</v>
      </c>
      <c r="C42" s="30">
        <v>12418499463</v>
      </c>
      <c r="D42" s="31" t="s">
        <v>10</v>
      </c>
      <c r="E42" s="32">
        <v>1000</v>
      </c>
      <c r="F42" s="33" t="s">
        <v>11</v>
      </c>
      <c r="G42" s="34">
        <v>3.6757181426000001</v>
      </c>
      <c r="H42" s="35" t="s">
        <v>12</v>
      </c>
      <c r="I42" s="36">
        <f t="shared" si="10"/>
        <v>45646903.780017458</v>
      </c>
      <c r="J42" s="37">
        <v>11226786654</v>
      </c>
      <c r="K42" s="39" t="s">
        <v>10</v>
      </c>
      <c r="L42" s="39">
        <v>1000</v>
      </c>
      <c r="M42" s="39" t="s">
        <v>11</v>
      </c>
      <c r="N42" s="40">
        <v>3.9563288874999998</v>
      </c>
      <c r="O42" s="38" t="s">
        <v>12</v>
      </c>
      <c r="P42" s="41">
        <f t="shared" si="11"/>
        <v>44416860.353019662</v>
      </c>
      <c r="Q42" s="42">
        <f t="shared" si="15"/>
        <v>1191712809</v>
      </c>
      <c r="R42" s="43">
        <f t="shared" si="13"/>
        <v>-0.28061074489999971</v>
      </c>
      <c r="S42" s="44">
        <f t="shared" si="14"/>
        <v>1230043.4269977957</v>
      </c>
    </row>
    <row r="43" spans="1:19" x14ac:dyDescent="0.25">
      <c r="A43" s="29" t="s">
        <v>51</v>
      </c>
      <c r="B43" s="29" t="s">
        <v>19</v>
      </c>
      <c r="C43" s="30">
        <v>12418499463</v>
      </c>
      <c r="D43" s="31" t="s">
        <v>10</v>
      </c>
      <c r="E43" s="32">
        <v>1000</v>
      </c>
      <c r="F43" s="33" t="s">
        <v>11</v>
      </c>
      <c r="G43" s="34">
        <v>1.8520016459999999</v>
      </c>
      <c r="H43" s="35" t="s">
        <v>12</v>
      </c>
      <c r="I43" s="36">
        <f t="shared" si="10"/>
        <v>22999081.446326114</v>
      </c>
      <c r="J43" s="37">
        <v>11226786654</v>
      </c>
      <c r="K43" s="39" t="s">
        <v>10</v>
      </c>
      <c r="L43" s="39">
        <v>1000</v>
      </c>
      <c r="M43" s="39" t="s">
        <v>11</v>
      </c>
      <c r="N43" s="40">
        <v>1.9595772728</v>
      </c>
      <c r="O43" s="38" t="s">
        <v>12</v>
      </c>
      <c r="P43" s="41">
        <f t="shared" si="11"/>
        <v>21999755.973752756</v>
      </c>
      <c r="Q43" s="42">
        <f t="shared" si="15"/>
        <v>1191712809</v>
      </c>
      <c r="R43" s="43">
        <f t="shared" si="13"/>
        <v>-0.1075756268000001</v>
      </c>
      <c r="S43" s="44">
        <f t="shared" si="14"/>
        <v>999325.47257335857</v>
      </c>
    </row>
    <row r="44" spans="1:19" x14ac:dyDescent="0.25">
      <c r="A44" s="45" t="s">
        <v>52</v>
      </c>
      <c r="B44" s="45" t="s">
        <v>19</v>
      </c>
      <c r="C44" s="46">
        <v>4124497005</v>
      </c>
      <c r="D44" s="47" t="s">
        <v>10</v>
      </c>
      <c r="E44" s="48">
        <v>1000</v>
      </c>
      <c r="F44" s="49" t="s">
        <v>11</v>
      </c>
      <c r="G44" s="50">
        <v>2.8662985321999996</v>
      </c>
      <c r="H44" s="51" t="s">
        <v>12</v>
      </c>
      <c r="I44" s="52">
        <f t="shared" si="10"/>
        <v>11822039.711494794</v>
      </c>
      <c r="J44" s="53">
        <v>3719536437</v>
      </c>
      <c r="K44" s="55" t="s">
        <v>10</v>
      </c>
      <c r="L44" s="55">
        <v>1000</v>
      </c>
      <c r="M44" s="55" t="s">
        <v>11</v>
      </c>
      <c r="N44" s="56">
        <v>3.0803462569</v>
      </c>
      <c r="O44" s="54" t="s">
        <v>12</v>
      </c>
      <c r="P44" s="57">
        <f t="shared" si="11"/>
        <v>11457460.141116112</v>
      </c>
      <c r="Q44" s="58">
        <f t="shared" si="15"/>
        <v>404960568</v>
      </c>
      <c r="R44" s="59">
        <f t="shared" si="13"/>
        <v>-0.21404772470000033</v>
      </c>
      <c r="S44" s="60">
        <f t="shared" si="14"/>
        <v>364579.57037868164</v>
      </c>
    </row>
    <row r="45" spans="1:19" x14ac:dyDescent="0.25">
      <c r="A45" s="45" t="s">
        <v>53</v>
      </c>
      <c r="B45" s="45" t="s">
        <v>19</v>
      </c>
      <c r="C45" s="46">
        <v>4124497005</v>
      </c>
      <c r="D45" s="47" t="s">
        <v>10</v>
      </c>
      <c r="E45" s="48">
        <v>1000</v>
      </c>
      <c r="F45" s="49" t="s">
        <v>11</v>
      </c>
      <c r="G45" s="50">
        <v>2.9493455062999998</v>
      </c>
      <c r="H45" s="51" t="s">
        <v>12</v>
      </c>
      <c r="I45" s="52">
        <f t="shared" si="10"/>
        <v>12164566.707444558</v>
      </c>
      <c r="J45" s="53">
        <v>3719536437</v>
      </c>
      <c r="K45" s="55" t="s">
        <v>10</v>
      </c>
      <c r="L45" s="55">
        <v>1000</v>
      </c>
      <c r="M45" s="55" t="s">
        <v>11</v>
      </c>
      <c r="N45" s="56">
        <v>3.2112358749999999</v>
      </c>
      <c r="O45" s="54" t="s">
        <v>12</v>
      </c>
      <c r="P45" s="57">
        <f t="shared" si="11"/>
        <v>11944308.844864076</v>
      </c>
      <c r="Q45" s="58">
        <f t="shared" si="15"/>
        <v>404960568</v>
      </c>
      <c r="R45" s="59">
        <f t="shared" si="13"/>
        <v>-0.26189036870000004</v>
      </c>
      <c r="S45" s="60">
        <f t="shared" si="14"/>
        <v>220257.86258048192</v>
      </c>
    </row>
    <row r="46" spans="1:19" x14ac:dyDescent="0.25">
      <c r="A46" s="45" t="s">
        <v>54</v>
      </c>
      <c r="B46" s="45" t="s">
        <v>19</v>
      </c>
      <c r="C46" s="46">
        <v>4124497005</v>
      </c>
      <c r="D46" s="47" t="s">
        <v>10</v>
      </c>
      <c r="E46" s="48">
        <v>1000</v>
      </c>
      <c r="F46" s="49" t="s">
        <v>11</v>
      </c>
      <c r="G46" s="50">
        <v>0.31318458979999997</v>
      </c>
      <c r="H46" s="51" t="s">
        <v>12</v>
      </c>
      <c r="I46" s="52">
        <f t="shared" si="10"/>
        <v>1291728.9026422533</v>
      </c>
      <c r="J46" s="53">
        <v>3719536437</v>
      </c>
      <c r="K46" s="55" t="s">
        <v>10</v>
      </c>
      <c r="L46" s="55">
        <v>1000</v>
      </c>
      <c r="M46" s="55" t="s">
        <v>11</v>
      </c>
      <c r="N46" s="56">
        <v>0.3461476094</v>
      </c>
      <c r="O46" s="54" t="s">
        <v>12</v>
      </c>
      <c r="P46" s="57">
        <f t="shared" si="11"/>
        <v>1287508.6457437437</v>
      </c>
      <c r="Q46" s="58">
        <f t="shared" si="15"/>
        <v>404960568</v>
      </c>
      <c r="R46" s="59">
        <f t="shared" si="13"/>
        <v>-3.2963019600000032E-2</v>
      </c>
      <c r="S46" s="60">
        <f t="shared" si="14"/>
        <v>4220.2568985095713</v>
      </c>
    </row>
    <row r="47" spans="1:19" x14ac:dyDescent="0.25">
      <c r="A47" s="29" t="s">
        <v>55</v>
      </c>
      <c r="B47" s="29" t="s">
        <v>19</v>
      </c>
      <c r="C47" s="30">
        <v>6524804626</v>
      </c>
      <c r="D47" s="31" t="s">
        <v>10</v>
      </c>
      <c r="E47" s="32">
        <v>1000</v>
      </c>
      <c r="F47" s="33" t="s">
        <v>11</v>
      </c>
      <c r="G47" s="34">
        <v>3.8372230789999997</v>
      </c>
      <c r="H47" s="35" t="s">
        <v>12</v>
      </c>
      <c r="I47" s="36">
        <f t="shared" si="10"/>
        <v>25037130.896853164</v>
      </c>
      <c r="J47" s="37">
        <v>5811837059</v>
      </c>
      <c r="K47" s="39" t="s">
        <v>10</v>
      </c>
      <c r="L47" s="39">
        <v>1000</v>
      </c>
      <c r="M47" s="39" t="s">
        <v>11</v>
      </c>
      <c r="N47" s="40">
        <v>4.1403666434000002</v>
      </c>
      <c r="O47" s="38" t="s">
        <v>12</v>
      </c>
      <c r="P47" s="41">
        <f t="shared" si="11"/>
        <v>24063136.295959558</v>
      </c>
      <c r="Q47" s="42">
        <f t="shared" si="15"/>
        <v>712967567</v>
      </c>
      <c r="R47" s="43">
        <f t="shared" si="13"/>
        <v>-0.30314356440000045</v>
      </c>
      <c r="S47" s="44">
        <f t="shared" si="14"/>
        <v>973994.6008936055</v>
      </c>
    </row>
    <row r="48" spans="1:19" x14ac:dyDescent="0.25">
      <c r="A48" s="29" t="s">
        <v>56</v>
      </c>
      <c r="B48" s="29" t="s">
        <v>19</v>
      </c>
      <c r="C48" s="30">
        <v>6524804626</v>
      </c>
      <c r="D48" s="31" t="s">
        <v>10</v>
      </c>
      <c r="E48" s="32">
        <v>1000</v>
      </c>
      <c r="F48" s="33" t="s">
        <v>11</v>
      </c>
      <c r="G48" s="34">
        <v>0.86301956590000006</v>
      </c>
      <c r="H48" s="35" t="s">
        <v>12</v>
      </c>
      <c r="I48" s="36">
        <f t="shared" si="10"/>
        <v>5631034.0559128327</v>
      </c>
      <c r="J48" s="37">
        <v>5811837059</v>
      </c>
      <c r="K48" s="39" t="s">
        <v>10</v>
      </c>
      <c r="L48" s="39">
        <v>1000</v>
      </c>
      <c r="M48" s="39" t="s">
        <v>11</v>
      </c>
      <c r="N48" s="40">
        <v>0.85308370450000004</v>
      </c>
      <c r="O48" s="38" t="s">
        <v>12</v>
      </c>
      <c r="P48" s="41">
        <f t="shared" si="11"/>
        <v>4957983.4882421056</v>
      </c>
      <c r="Q48" s="42">
        <f t="shared" si="15"/>
        <v>712967567</v>
      </c>
      <c r="R48" s="43">
        <f t="shared" si="13"/>
        <v>9.9358614000000234E-3</v>
      </c>
      <c r="S48" s="44">
        <f t="shared" si="14"/>
        <v>673050.56767072715</v>
      </c>
    </row>
    <row r="49" spans="1:19" x14ac:dyDescent="0.25">
      <c r="A49" s="45" t="s">
        <v>57</v>
      </c>
      <c r="B49" s="45" t="s">
        <v>19</v>
      </c>
      <c r="C49" s="46">
        <v>2099325383</v>
      </c>
      <c r="D49" s="47" t="s">
        <v>10</v>
      </c>
      <c r="E49" s="48">
        <v>1000</v>
      </c>
      <c r="F49" s="49" t="s">
        <v>11</v>
      </c>
      <c r="G49" s="50">
        <v>2.0587179294000002</v>
      </c>
      <c r="H49" s="51" t="s">
        <v>12</v>
      </c>
      <c r="I49" s="52">
        <f t="shared" si="10"/>
        <v>4321918.8056266224</v>
      </c>
      <c r="J49" s="53">
        <v>1905391235</v>
      </c>
      <c r="K49" s="55" t="s">
        <v>10</v>
      </c>
      <c r="L49" s="55">
        <v>1000</v>
      </c>
      <c r="M49" s="55" t="s">
        <v>11</v>
      </c>
      <c r="N49" s="56">
        <v>2.1692226314999998</v>
      </c>
      <c r="O49" s="54" t="s">
        <v>12</v>
      </c>
      <c r="P49" s="57">
        <f t="shared" si="11"/>
        <v>4133217.788823735</v>
      </c>
      <c r="Q49" s="58">
        <f t="shared" si="15"/>
        <v>193934148</v>
      </c>
      <c r="R49" s="59">
        <f t="shared" si="13"/>
        <v>-0.11050470209999963</v>
      </c>
      <c r="S49" s="60">
        <f t="shared" si="14"/>
        <v>188701.01680288743</v>
      </c>
    </row>
    <row r="50" spans="1:19" ht="15.75" thickBot="1" x14ac:dyDescent="0.3">
      <c r="A50" s="45" t="s">
        <v>58</v>
      </c>
      <c r="B50" s="45" t="s">
        <v>19</v>
      </c>
      <c r="C50" s="46">
        <v>2099325383</v>
      </c>
      <c r="D50" s="47" t="s">
        <v>10</v>
      </c>
      <c r="E50" s="48">
        <v>1000</v>
      </c>
      <c r="F50" s="49" t="s">
        <v>11</v>
      </c>
      <c r="G50" s="50">
        <v>1.4567027719999999</v>
      </c>
      <c r="H50" s="51" t="s">
        <v>12</v>
      </c>
      <c r="I50" s="52">
        <f t="shared" si="10"/>
        <v>3058093.1047460614</v>
      </c>
      <c r="J50" s="53">
        <v>1905391235</v>
      </c>
      <c r="K50" s="55" t="s">
        <v>10</v>
      </c>
      <c r="L50" s="55">
        <v>1000</v>
      </c>
      <c r="M50" s="55" t="s">
        <v>11</v>
      </c>
      <c r="N50" s="56">
        <v>1.6056912270999999</v>
      </c>
      <c r="O50" s="54" t="s">
        <v>12</v>
      </c>
      <c r="P50" s="57">
        <f t="shared" si="11"/>
        <v>3059469.9902327345</v>
      </c>
      <c r="Q50" s="58">
        <f t="shared" si="15"/>
        <v>193934148</v>
      </c>
      <c r="R50" s="59">
        <f t="shared" si="13"/>
        <v>-0.14898845510000003</v>
      </c>
      <c r="S50" s="60">
        <f t="shared" si="14"/>
        <v>-1376.8854866730981</v>
      </c>
    </row>
    <row r="51" spans="1:19" ht="15.75" thickBot="1" x14ac:dyDescent="0.3">
      <c r="A51" s="78" t="s">
        <v>59</v>
      </c>
      <c r="B51" s="79"/>
      <c r="C51" s="80"/>
      <c r="D51" s="81"/>
      <c r="E51" s="82"/>
      <c r="F51" s="83"/>
      <c r="G51" s="84"/>
      <c r="H51" s="85"/>
      <c r="I51" s="85"/>
      <c r="J51" s="80"/>
      <c r="K51" s="80"/>
      <c r="L51" s="80"/>
      <c r="M51" s="80"/>
      <c r="N51" s="80"/>
      <c r="O51" s="80"/>
      <c r="P51" s="80"/>
      <c r="Q51" s="86"/>
      <c r="R51" s="86"/>
      <c r="S51" s="87"/>
    </row>
    <row r="52" spans="1:19" x14ac:dyDescent="0.25">
      <c r="A52" s="45" t="s">
        <v>60</v>
      </c>
      <c r="B52" s="45" t="s">
        <v>9</v>
      </c>
      <c r="C52" s="46">
        <v>219767503</v>
      </c>
      <c r="D52" s="47" t="s">
        <v>10</v>
      </c>
      <c r="E52" s="48">
        <v>1000</v>
      </c>
      <c r="F52" s="49" t="s">
        <v>11</v>
      </c>
      <c r="G52" s="50">
        <v>0.71413228919999994</v>
      </c>
      <c r="H52" s="51" t="s">
        <v>12</v>
      </c>
      <c r="I52" s="52">
        <f t="shared" ref="I52:I64" si="16">C52/E52*G52</f>
        <v>156943.07000915785</v>
      </c>
      <c r="J52" s="53">
        <v>197420683</v>
      </c>
      <c r="K52" s="55" t="s">
        <v>10</v>
      </c>
      <c r="L52" s="55">
        <v>1000</v>
      </c>
      <c r="M52" s="55" t="s">
        <v>11</v>
      </c>
      <c r="N52" s="56">
        <v>0.77388669560000001</v>
      </c>
      <c r="O52" s="54" t="s">
        <v>12</v>
      </c>
      <c r="P52" s="57">
        <f t="shared" ref="P52:P64" si="17">J52/L52*N52</f>
        <v>152781.24000996508</v>
      </c>
      <c r="Q52" s="58">
        <f t="shared" ref="Q52:Q64" si="18">C52-J52</f>
        <v>22346820</v>
      </c>
      <c r="R52" s="59">
        <f t="shared" ref="R52:R64" si="19">G52-N52</f>
        <v>-5.9754406400000071E-2</v>
      </c>
      <c r="S52" s="60">
        <f t="shared" ref="S52:S64" si="20">I52-P52</f>
        <v>4161.8299991927634</v>
      </c>
    </row>
    <row r="53" spans="1:19" x14ac:dyDescent="0.25">
      <c r="A53" s="29" t="s">
        <v>61</v>
      </c>
      <c r="B53" s="29" t="s">
        <v>9</v>
      </c>
      <c r="C53" s="30">
        <v>2085898409</v>
      </c>
      <c r="D53" s="31" t="s">
        <v>10</v>
      </c>
      <c r="E53" s="32">
        <v>1000</v>
      </c>
      <c r="F53" s="33" t="s">
        <v>11</v>
      </c>
      <c r="G53" s="34">
        <v>1.4999999983000001</v>
      </c>
      <c r="H53" s="35" t="s">
        <v>12</v>
      </c>
      <c r="I53" s="36">
        <f t="shared" si="16"/>
        <v>3128847.609953973</v>
      </c>
      <c r="J53" s="37">
        <v>1882282431</v>
      </c>
      <c r="K53" s="39" t="s">
        <v>10</v>
      </c>
      <c r="L53" s="39">
        <v>1000</v>
      </c>
      <c r="M53" s="39" t="s">
        <v>11</v>
      </c>
      <c r="N53" s="40">
        <v>1.5</v>
      </c>
      <c r="O53" s="38" t="s">
        <v>12</v>
      </c>
      <c r="P53" s="41">
        <f t="shared" si="17"/>
        <v>2823423.6465000003</v>
      </c>
      <c r="Q53" s="42">
        <f t="shared" si="18"/>
        <v>203615978</v>
      </c>
      <c r="R53" s="43">
        <f t="shared" si="19"/>
        <v>-1.6999999186140258E-9</v>
      </c>
      <c r="S53" s="44">
        <f t="shared" si="20"/>
        <v>305423.96345397271</v>
      </c>
    </row>
    <row r="54" spans="1:19" x14ac:dyDescent="0.25">
      <c r="A54" s="45" t="s">
        <v>62</v>
      </c>
      <c r="B54" s="45" t="s">
        <v>9</v>
      </c>
      <c r="C54" s="46">
        <v>6951835405</v>
      </c>
      <c r="D54" s="47" t="s">
        <v>10</v>
      </c>
      <c r="E54" s="48">
        <v>1000</v>
      </c>
      <c r="F54" s="49" t="s">
        <v>11</v>
      </c>
      <c r="G54" s="50">
        <v>1.4837567</v>
      </c>
      <c r="H54" s="51" t="s">
        <v>12</v>
      </c>
      <c r="I54" s="52">
        <f t="shared" si="16"/>
        <v>10314832.359465964</v>
      </c>
      <c r="J54" s="53">
        <v>6181999063</v>
      </c>
      <c r="K54" s="55" t="s">
        <v>10</v>
      </c>
      <c r="L54" s="55">
        <v>1000</v>
      </c>
      <c r="M54" s="55" t="s">
        <v>11</v>
      </c>
      <c r="N54" s="56">
        <v>1.4999999992999999</v>
      </c>
      <c r="O54" s="54" t="s">
        <v>12</v>
      </c>
      <c r="P54" s="57">
        <f t="shared" si="17"/>
        <v>9272998.5901726</v>
      </c>
      <c r="Q54" s="58">
        <f t="shared" si="18"/>
        <v>769836342</v>
      </c>
      <c r="R54" s="59">
        <f t="shared" si="19"/>
        <v>-1.6243299299999903E-2</v>
      </c>
      <c r="S54" s="60">
        <f t="shared" si="20"/>
        <v>1041833.7692933641</v>
      </c>
    </row>
    <row r="55" spans="1:19" x14ac:dyDescent="0.25">
      <c r="A55" s="29" t="s">
        <v>63</v>
      </c>
      <c r="B55" s="29" t="s">
        <v>9</v>
      </c>
      <c r="C55" s="30">
        <v>6323009657</v>
      </c>
      <c r="D55" s="31" t="s">
        <v>10</v>
      </c>
      <c r="E55" s="32">
        <v>1000</v>
      </c>
      <c r="F55" s="33" t="s">
        <v>11</v>
      </c>
      <c r="G55" s="34">
        <v>1.2698814038999999</v>
      </c>
      <c r="H55" s="35" t="s">
        <v>12</v>
      </c>
      <c r="I55" s="36">
        <f t="shared" si="16"/>
        <v>8029472.380104417</v>
      </c>
      <c r="J55" s="37">
        <v>5727878816</v>
      </c>
      <c r="K55" s="39" t="s">
        <v>10</v>
      </c>
      <c r="L55" s="39">
        <v>1000</v>
      </c>
      <c r="M55" s="39" t="s">
        <v>11</v>
      </c>
      <c r="N55" s="40">
        <v>1.3589444959000001</v>
      </c>
      <c r="O55" s="38" t="s">
        <v>12</v>
      </c>
      <c r="P55" s="41">
        <f t="shared" si="17"/>
        <v>7783869.3901854092</v>
      </c>
      <c r="Q55" s="42">
        <f t="shared" si="18"/>
        <v>595130841</v>
      </c>
      <c r="R55" s="43">
        <f t="shared" si="19"/>
        <v>-8.9063092000000177E-2</v>
      </c>
      <c r="S55" s="44">
        <f t="shared" si="20"/>
        <v>245602.98991900776</v>
      </c>
    </row>
    <row r="56" spans="1:19" x14ac:dyDescent="0.25">
      <c r="A56" s="29" t="s">
        <v>64</v>
      </c>
      <c r="B56" s="29" t="s">
        <v>9</v>
      </c>
      <c r="C56" s="30">
        <v>6323009657</v>
      </c>
      <c r="D56" s="31" t="s">
        <v>10</v>
      </c>
      <c r="E56" s="32">
        <v>1000</v>
      </c>
      <c r="F56" s="33" t="s">
        <v>11</v>
      </c>
      <c r="G56" s="34">
        <v>0.41724673109999999</v>
      </c>
      <c r="H56" s="35" t="s">
        <v>12</v>
      </c>
      <c r="I56" s="36">
        <f t="shared" si="16"/>
        <v>2638255.1100969822</v>
      </c>
      <c r="J56" s="37">
        <v>5727878816</v>
      </c>
      <c r="K56" s="39" t="s">
        <v>10</v>
      </c>
      <c r="L56" s="39">
        <v>1000</v>
      </c>
      <c r="M56" s="39" t="s">
        <v>11</v>
      </c>
      <c r="N56" s="40">
        <v>0.44659078029999999</v>
      </c>
      <c r="O56" s="38" t="s">
        <v>12</v>
      </c>
      <c r="P56" s="41">
        <f t="shared" si="17"/>
        <v>2558017.8699012799</v>
      </c>
      <c r="Q56" s="42">
        <f t="shared" si="18"/>
        <v>595130841</v>
      </c>
      <c r="R56" s="43">
        <f t="shared" si="19"/>
        <v>-2.93440492E-2</v>
      </c>
      <c r="S56" s="44">
        <f t="shared" si="20"/>
        <v>80237.240195702296</v>
      </c>
    </row>
    <row r="57" spans="1:19" x14ac:dyDescent="0.25">
      <c r="A57" s="45" t="s">
        <v>65</v>
      </c>
      <c r="B57" s="45" t="s">
        <v>9</v>
      </c>
      <c r="C57" s="46">
        <v>1195923976</v>
      </c>
      <c r="D57" s="47" t="s">
        <v>10</v>
      </c>
      <c r="E57" s="48">
        <v>1000</v>
      </c>
      <c r="F57" s="49" t="s">
        <v>11</v>
      </c>
      <c r="G57" s="50">
        <v>1.4999999966999999</v>
      </c>
      <c r="H57" s="51" t="s">
        <v>12</v>
      </c>
      <c r="I57" s="52">
        <f t="shared" si="16"/>
        <v>1793885.9600534509</v>
      </c>
      <c r="J57" s="53">
        <v>1098352548</v>
      </c>
      <c r="K57" s="55" t="s">
        <v>10</v>
      </c>
      <c r="L57" s="55">
        <v>1000</v>
      </c>
      <c r="M57" s="55" t="s">
        <v>11</v>
      </c>
      <c r="N57" s="56">
        <v>1.4999999982000001</v>
      </c>
      <c r="O57" s="54" t="s">
        <v>12</v>
      </c>
      <c r="P57" s="57">
        <f t="shared" si="17"/>
        <v>1647528.8200229653</v>
      </c>
      <c r="Q57" s="58">
        <f t="shared" si="18"/>
        <v>97571428</v>
      </c>
      <c r="R57" s="59">
        <f t="shared" si="19"/>
        <v>-1.5000001241105565E-9</v>
      </c>
      <c r="S57" s="60">
        <f t="shared" si="20"/>
        <v>146357.14003048558</v>
      </c>
    </row>
    <row r="58" spans="1:19" x14ac:dyDescent="0.25">
      <c r="A58" s="45" t="s">
        <v>66</v>
      </c>
      <c r="B58" s="45" t="s">
        <v>9</v>
      </c>
      <c r="C58" s="46">
        <v>1195923976</v>
      </c>
      <c r="D58" s="47" t="s">
        <v>10</v>
      </c>
      <c r="E58" s="48">
        <v>1000</v>
      </c>
      <c r="F58" s="49" t="s">
        <v>11</v>
      </c>
      <c r="G58" s="50">
        <v>0.35</v>
      </c>
      <c r="H58" s="51" t="s">
        <v>12</v>
      </c>
      <c r="I58" s="52">
        <f t="shared" si="16"/>
        <v>418573.39159999997</v>
      </c>
      <c r="J58" s="53">
        <v>1098352548</v>
      </c>
      <c r="K58" s="55" t="s">
        <v>10</v>
      </c>
      <c r="L58" s="55">
        <v>1000</v>
      </c>
      <c r="M58" s="55" t="s">
        <v>11</v>
      </c>
      <c r="N58" s="56">
        <v>0.34999999840000001</v>
      </c>
      <c r="O58" s="54" t="s">
        <v>12</v>
      </c>
      <c r="P58" s="57">
        <f t="shared" si="17"/>
        <v>384423.3900426359</v>
      </c>
      <c r="Q58" s="58">
        <f t="shared" si="18"/>
        <v>97571428</v>
      </c>
      <c r="R58" s="59">
        <f t="shared" si="19"/>
        <v>1.5999999658511399E-9</v>
      </c>
      <c r="S58" s="60">
        <f t="shared" si="20"/>
        <v>34150.00155736407</v>
      </c>
    </row>
    <row r="59" spans="1:19" x14ac:dyDescent="0.25">
      <c r="A59" s="29" t="s">
        <v>67</v>
      </c>
      <c r="B59" s="29" t="s">
        <v>9</v>
      </c>
      <c r="C59" s="30">
        <v>809730398</v>
      </c>
      <c r="D59" s="31" t="s">
        <v>10</v>
      </c>
      <c r="E59" s="32">
        <v>1000</v>
      </c>
      <c r="F59" s="33" t="s">
        <v>11</v>
      </c>
      <c r="G59" s="34">
        <v>0.77274454749999999</v>
      </c>
      <c r="H59" s="35" t="s">
        <v>12</v>
      </c>
      <c r="I59" s="36">
        <f t="shared" si="16"/>
        <v>625714.74999950489</v>
      </c>
      <c r="J59" s="37">
        <v>714212249</v>
      </c>
      <c r="K59" s="39" t="s">
        <v>10</v>
      </c>
      <c r="L59" s="39">
        <v>1000</v>
      </c>
      <c r="M59" s="39" t="s">
        <v>11</v>
      </c>
      <c r="N59" s="40">
        <v>0.85171726029999995</v>
      </c>
      <c r="O59" s="38" t="s">
        <v>12</v>
      </c>
      <c r="P59" s="41">
        <f t="shared" si="17"/>
        <v>608306.89999098133</v>
      </c>
      <c r="Q59" s="42">
        <f t="shared" si="18"/>
        <v>95518149</v>
      </c>
      <c r="R59" s="43">
        <f t="shared" si="19"/>
        <v>-7.8972712799999956E-2</v>
      </c>
      <c r="S59" s="44">
        <f t="shared" si="20"/>
        <v>17407.850008523557</v>
      </c>
    </row>
    <row r="60" spans="1:19" x14ac:dyDescent="0.25">
      <c r="A60" s="45" t="s">
        <v>68</v>
      </c>
      <c r="B60" s="45" t="s">
        <v>9</v>
      </c>
      <c r="C60" s="46">
        <v>3517575607</v>
      </c>
      <c r="D60" s="47" t="s">
        <v>10</v>
      </c>
      <c r="E60" s="48">
        <v>1000</v>
      </c>
      <c r="F60" s="49" t="s">
        <v>11</v>
      </c>
      <c r="G60" s="50">
        <v>1.5</v>
      </c>
      <c r="H60" s="51" t="s">
        <v>12</v>
      </c>
      <c r="I60" s="52">
        <f t="shared" si="16"/>
        <v>5276363.4104999993</v>
      </c>
      <c r="J60" s="53">
        <v>3186714009</v>
      </c>
      <c r="K60" s="55" t="s">
        <v>10</v>
      </c>
      <c r="L60" s="55">
        <v>1000</v>
      </c>
      <c r="M60" s="55" t="s">
        <v>11</v>
      </c>
      <c r="N60" s="56">
        <v>1.5</v>
      </c>
      <c r="O60" s="54" t="s">
        <v>12</v>
      </c>
      <c r="P60" s="57">
        <f t="shared" si="17"/>
        <v>4780071.0135000004</v>
      </c>
      <c r="Q60" s="58">
        <f t="shared" si="18"/>
        <v>330861598</v>
      </c>
      <c r="R60" s="59">
        <f t="shared" si="19"/>
        <v>0</v>
      </c>
      <c r="S60" s="60">
        <f t="shared" si="20"/>
        <v>496292.39699999895</v>
      </c>
    </row>
    <row r="61" spans="1:19" x14ac:dyDescent="0.25">
      <c r="A61" s="29" t="s">
        <v>69</v>
      </c>
      <c r="B61" s="29" t="s">
        <v>19</v>
      </c>
      <c r="C61" s="30">
        <v>1807170584</v>
      </c>
      <c r="D61" s="31" t="s">
        <v>10</v>
      </c>
      <c r="E61" s="32">
        <v>1000</v>
      </c>
      <c r="F61" s="33" t="s">
        <v>11</v>
      </c>
      <c r="G61" s="34">
        <v>0.15455387099999998</v>
      </c>
      <c r="H61" s="35" t="s">
        <v>12</v>
      </c>
      <c r="I61" s="36">
        <f t="shared" si="16"/>
        <v>279305.20931453066</v>
      </c>
      <c r="J61" s="37">
        <v>1621057274</v>
      </c>
      <c r="K61" s="39" t="s">
        <v>10</v>
      </c>
      <c r="L61" s="39">
        <v>1000</v>
      </c>
      <c r="M61" s="39" t="s">
        <v>11</v>
      </c>
      <c r="N61" s="40">
        <v>0.1663010905</v>
      </c>
      <c r="O61" s="38" t="s">
        <v>12</v>
      </c>
      <c r="P61" s="41">
        <f t="shared" si="17"/>
        <v>269583.59242915729</v>
      </c>
      <c r="Q61" s="42">
        <f t="shared" si="18"/>
        <v>186113310</v>
      </c>
      <c r="R61" s="43">
        <f t="shared" si="19"/>
        <v>-1.1747219500000017E-2</v>
      </c>
      <c r="S61" s="44">
        <f t="shared" si="20"/>
        <v>9721.6168853733689</v>
      </c>
    </row>
    <row r="62" spans="1:19" x14ac:dyDescent="0.25">
      <c r="A62" s="45" t="s">
        <v>70</v>
      </c>
      <c r="B62" s="45" t="s">
        <v>9</v>
      </c>
      <c r="C62" s="46">
        <v>280003466</v>
      </c>
      <c r="D62" s="47" t="s">
        <v>10</v>
      </c>
      <c r="E62" s="48">
        <v>1000</v>
      </c>
      <c r="F62" s="49" t="s">
        <v>11</v>
      </c>
      <c r="G62" s="50">
        <v>0.98213102120000007</v>
      </c>
      <c r="H62" s="51" t="s">
        <v>12</v>
      </c>
      <c r="I62" s="52">
        <f t="shared" si="16"/>
        <v>275000.09000211948</v>
      </c>
      <c r="J62" s="53">
        <v>250523227</v>
      </c>
      <c r="K62" s="55" t="s">
        <v>10</v>
      </c>
      <c r="L62" s="55">
        <v>1000</v>
      </c>
      <c r="M62" s="55" t="s">
        <v>11</v>
      </c>
      <c r="N62" s="56">
        <v>0.96601857199999996</v>
      </c>
      <c r="O62" s="54" t="s">
        <v>12</v>
      </c>
      <c r="P62" s="57">
        <f t="shared" si="17"/>
        <v>242010.08999937185</v>
      </c>
      <c r="Q62" s="58">
        <f t="shared" si="18"/>
        <v>29480239</v>
      </c>
      <c r="R62" s="59">
        <f t="shared" si="19"/>
        <v>1.6112449200000101E-2</v>
      </c>
      <c r="S62" s="60">
        <f t="shared" si="20"/>
        <v>32990.000002747634</v>
      </c>
    </row>
    <row r="63" spans="1:19" x14ac:dyDescent="0.25">
      <c r="A63" s="29" t="s">
        <v>71</v>
      </c>
      <c r="B63" s="29" t="s">
        <v>9</v>
      </c>
      <c r="C63" s="30">
        <v>1208994342</v>
      </c>
      <c r="D63" s="31" t="s">
        <v>10</v>
      </c>
      <c r="E63" s="32">
        <v>1000</v>
      </c>
      <c r="F63" s="33" t="s">
        <v>11</v>
      </c>
      <c r="G63" s="34">
        <v>0.49999999919999999</v>
      </c>
      <c r="H63" s="35" t="s">
        <v>12</v>
      </c>
      <c r="I63" s="36">
        <f t="shared" si="16"/>
        <v>604497.17003280448</v>
      </c>
      <c r="J63" s="37">
        <v>1072683557</v>
      </c>
      <c r="K63" s="39" t="s">
        <v>10</v>
      </c>
      <c r="L63" s="39">
        <v>1000</v>
      </c>
      <c r="M63" s="39" t="s">
        <v>11</v>
      </c>
      <c r="N63" s="40">
        <v>0.5</v>
      </c>
      <c r="O63" s="38" t="s">
        <v>12</v>
      </c>
      <c r="P63" s="41">
        <f t="shared" si="17"/>
        <v>536341.77850000001</v>
      </c>
      <c r="Q63" s="42">
        <f t="shared" si="18"/>
        <v>136310785</v>
      </c>
      <c r="R63" s="43">
        <f t="shared" si="19"/>
        <v>-8.0000001068114557E-10</v>
      </c>
      <c r="S63" s="44">
        <f t="shared" si="20"/>
        <v>68155.391532804468</v>
      </c>
    </row>
    <row r="64" spans="1:19" ht="15.75" thickBot="1" x14ac:dyDescent="0.3">
      <c r="A64" s="118" t="s">
        <v>88</v>
      </c>
      <c r="B64" s="118" t="s">
        <v>19</v>
      </c>
      <c r="C64" s="30">
        <v>1191493221</v>
      </c>
      <c r="D64" s="31" t="s">
        <v>10</v>
      </c>
      <c r="E64" s="32">
        <v>1000</v>
      </c>
      <c r="F64" s="33" t="s">
        <v>11</v>
      </c>
      <c r="G64" s="34">
        <v>1.3504273223000001</v>
      </c>
      <c r="H64" s="35" t="s">
        <v>12</v>
      </c>
      <c r="I64" s="36">
        <f t="shared" si="16"/>
        <v>1609024.9999736322</v>
      </c>
      <c r="J64" s="37">
        <v>1055862488</v>
      </c>
      <c r="K64" s="39" t="s">
        <v>10</v>
      </c>
      <c r="L64" s="39">
        <v>1000</v>
      </c>
      <c r="M64" s="39" t="s">
        <v>11</v>
      </c>
      <c r="N64" s="40">
        <v>0</v>
      </c>
      <c r="O64" s="38" t="s">
        <v>12</v>
      </c>
      <c r="P64" s="41">
        <f t="shared" si="17"/>
        <v>0</v>
      </c>
      <c r="Q64" s="42">
        <f t="shared" si="18"/>
        <v>135630733</v>
      </c>
      <c r="R64" s="43">
        <f t="shared" si="19"/>
        <v>1.3504273223000001</v>
      </c>
      <c r="S64" s="44">
        <f t="shared" si="20"/>
        <v>1609024.9999736322</v>
      </c>
    </row>
    <row r="65" spans="1:19" ht="15.75" thickBot="1" x14ac:dyDescent="0.3">
      <c r="A65" s="78" t="s">
        <v>72</v>
      </c>
      <c r="B65" s="79"/>
      <c r="C65" s="80"/>
      <c r="D65" s="81"/>
      <c r="E65" s="82"/>
      <c r="F65" s="83"/>
      <c r="G65" s="84"/>
      <c r="H65" s="85"/>
      <c r="I65" s="85"/>
      <c r="J65" s="80"/>
      <c r="K65" s="80"/>
      <c r="L65" s="80"/>
      <c r="M65" s="80"/>
      <c r="N65" s="80"/>
      <c r="O65" s="80"/>
      <c r="P65" s="80"/>
      <c r="Q65" s="86"/>
      <c r="R65" s="86"/>
      <c r="S65" s="87"/>
    </row>
    <row r="66" spans="1:19" x14ac:dyDescent="0.25">
      <c r="A66" s="45" t="s">
        <v>73</v>
      </c>
      <c r="B66" s="45" t="s">
        <v>9</v>
      </c>
      <c r="C66" s="90">
        <v>757420801</v>
      </c>
      <c r="D66" s="91" t="s">
        <v>10</v>
      </c>
      <c r="E66" s="92">
        <v>1000</v>
      </c>
      <c r="F66" s="93" t="s">
        <v>11</v>
      </c>
      <c r="G66" s="94">
        <v>2.1660007200000001E-2</v>
      </c>
      <c r="H66" s="95" t="s">
        <v>12</v>
      </c>
      <c r="I66" s="96">
        <f>C66/E66*G66</f>
        <v>16405.740003089766</v>
      </c>
      <c r="J66" s="97">
        <v>686071700</v>
      </c>
      <c r="K66" s="98" t="s">
        <v>10</v>
      </c>
      <c r="L66" s="98">
        <v>1000</v>
      </c>
      <c r="M66" s="98" t="s">
        <v>11</v>
      </c>
      <c r="N66" s="99">
        <v>2.3176017899999998E-2</v>
      </c>
      <c r="O66" s="100" t="s">
        <v>12</v>
      </c>
      <c r="P66" s="101">
        <f>J66/L66*N66</f>
        <v>15900.409999883428</v>
      </c>
      <c r="Q66" s="102">
        <f>C66-J66</f>
        <v>71349101</v>
      </c>
      <c r="R66" s="103">
        <f>G66-N66</f>
        <v>-1.5160106999999971E-3</v>
      </c>
      <c r="S66" s="104">
        <f>I66-P66</f>
        <v>505.33000320633801</v>
      </c>
    </row>
    <row r="67" spans="1:19" x14ac:dyDescent="0.25">
      <c r="A67" s="29" t="s">
        <v>74</v>
      </c>
      <c r="B67" s="29" t="s">
        <v>9</v>
      </c>
      <c r="C67" s="30">
        <v>513418720</v>
      </c>
      <c r="D67" s="31" t="s">
        <v>10</v>
      </c>
      <c r="E67" s="32">
        <v>1000</v>
      </c>
      <c r="F67" s="33" t="s">
        <v>11</v>
      </c>
      <c r="G67" s="34">
        <v>8.9963509699999999E-2</v>
      </c>
      <c r="H67" s="35" t="s">
        <v>12</v>
      </c>
      <c r="I67" s="36">
        <f>C67/E67*G67</f>
        <v>46188.94999688158</v>
      </c>
      <c r="J67" s="37">
        <v>453761841</v>
      </c>
      <c r="K67" s="39" t="s">
        <v>10</v>
      </c>
      <c r="L67" s="39">
        <v>1000</v>
      </c>
      <c r="M67" s="39" t="s">
        <v>11</v>
      </c>
      <c r="N67" s="105">
        <v>9.9519562699999994E-2</v>
      </c>
      <c r="O67" s="38" t="s">
        <v>12</v>
      </c>
      <c r="P67" s="41">
        <f>J67/L67*N67</f>
        <v>45158.179986266929</v>
      </c>
      <c r="Q67" s="42">
        <f>C67-J67</f>
        <v>59656879</v>
      </c>
      <c r="R67" s="43">
        <f>G67-N67</f>
        <v>-9.5560529999999949E-3</v>
      </c>
      <c r="S67" s="44">
        <f>I67-P67</f>
        <v>1030.7700106146513</v>
      </c>
    </row>
    <row r="68" spans="1:19" x14ac:dyDescent="0.25">
      <c r="A68" s="45" t="s">
        <v>75</v>
      </c>
      <c r="B68" s="45" t="s">
        <v>9</v>
      </c>
      <c r="C68" s="46">
        <v>213094415</v>
      </c>
      <c r="D68" s="47" t="s">
        <v>10</v>
      </c>
      <c r="E68" s="48">
        <v>1000</v>
      </c>
      <c r="F68" s="49" t="s">
        <v>11</v>
      </c>
      <c r="G68" s="50">
        <v>9.6147006000000007E-2</v>
      </c>
      <c r="H68" s="51" t="s">
        <v>12</v>
      </c>
      <c r="I68" s="52">
        <f>C68/E68*G68</f>
        <v>20488.389997571492</v>
      </c>
      <c r="J68" s="53">
        <v>190693672</v>
      </c>
      <c r="K68" s="55" t="s">
        <v>10</v>
      </c>
      <c r="L68" s="55">
        <v>1000</v>
      </c>
      <c r="M68" s="55" t="s">
        <v>11</v>
      </c>
      <c r="N68" s="106">
        <v>0.10319440489999999</v>
      </c>
      <c r="O68" s="54" t="s">
        <v>12</v>
      </c>
      <c r="P68" s="57">
        <f>J68/L68*N68</f>
        <v>19678.520000235792</v>
      </c>
      <c r="Q68" s="58">
        <f>C68-J68</f>
        <v>22400743</v>
      </c>
      <c r="R68" s="59">
        <f>G68-N68</f>
        <v>-7.0473988999999876E-3</v>
      </c>
      <c r="S68" s="60">
        <f>I68-P68</f>
        <v>809.86999733569974</v>
      </c>
    </row>
    <row r="69" spans="1:19" ht="15.75" thickBot="1" x14ac:dyDescent="0.3">
      <c r="A69" s="29" t="s">
        <v>76</v>
      </c>
      <c r="B69" s="29" t="s">
        <v>9</v>
      </c>
      <c r="C69" s="30">
        <v>2875953277</v>
      </c>
      <c r="D69" s="31" t="s">
        <v>10</v>
      </c>
      <c r="E69" s="32">
        <v>1000</v>
      </c>
      <c r="F69" s="33" t="s">
        <v>11</v>
      </c>
      <c r="G69" s="34">
        <v>3.6795855099999997E-2</v>
      </c>
      <c r="H69" s="35" t="s">
        <v>12</v>
      </c>
      <c r="I69" s="36">
        <f>C69/E69*G69</f>
        <v>105823.16005486215</v>
      </c>
      <c r="J69" s="37">
        <v>2581826534</v>
      </c>
      <c r="K69" s="39" t="s">
        <v>10</v>
      </c>
      <c r="L69" s="39">
        <v>1000</v>
      </c>
      <c r="M69" s="39" t="s">
        <v>11</v>
      </c>
      <c r="N69" s="105">
        <v>4.0097279399999998E-2</v>
      </c>
      <c r="O69" s="38" t="s">
        <v>12</v>
      </c>
      <c r="P69" s="41">
        <f>J69/L69*N69</f>
        <v>103524.21989613159</v>
      </c>
      <c r="Q69" s="42">
        <f>C69-J69</f>
        <v>294126743</v>
      </c>
      <c r="R69" s="43">
        <f>G69-N69</f>
        <v>-3.3014243000000013E-3</v>
      </c>
      <c r="S69" s="44">
        <f>I69-P69</f>
        <v>2298.940158730562</v>
      </c>
    </row>
    <row r="70" spans="1:19" ht="15.75" thickBot="1" x14ac:dyDescent="0.3">
      <c r="A70" s="78" t="s">
        <v>77</v>
      </c>
      <c r="B70" s="79"/>
      <c r="C70" s="80"/>
      <c r="D70" s="81"/>
      <c r="E70" s="82"/>
      <c r="F70" s="83"/>
      <c r="G70" s="84"/>
      <c r="H70" s="85"/>
      <c r="I70" s="85"/>
      <c r="J70" s="80"/>
      <c r="K70" s="80"/>
      <c r="L70" s="80"/>
      <c r="M70" s="80"/>
      <c r="N70" s="80"/>
      <c r="O70" s="80"/>
      <c r="P70" s="80"/>
      <c r="Q70" s="86"/>
      <c r="R70" s="86"/>
      <c r="S70" s="87"/>
    </row>
    <row r="71" spans="1:19" x14ac:dyDescent="0.25">
      <c r="A71" s="107" t="s">
        <v>78</v>
      </c>
      <c r="B71" s="89" t="s">
        <v>9</v>
      </c>
      <c r="C71" s="90">
        <v>5406518397</v>
      </c>
      <c r="D71" s="108" t="s">
        <v>10</v>
      </c>
      <c r="E71" s="109">
        <v>1000</v>
      </c>
      <c r="F71" s="110" t="s">
        <v>11</v>
      </c>
      <c r="G71" s="94">
        <v>0.277220246</v>
      </c>
      <c r="H71" s="95" t="s">
        <v>12</v>
      </c>
      <c r="I71" s="96">
        <f>C71/E71*G71</f>
        <v>1498796.3600198657</v>
      </c>
      <c r="J71" s="97">
        <v>4878582707</v>
      </c>
      <c r="K71" s="98" t="s">
        <v>10</v>
      </c>
      <c r="L71" s="98">
        <v>1000</v>
      </c>
      <c r="M71" s="98" t="s">
        <v>11</v>
      </c>
      <c r="N71" s="99">
        <v>0.32392814980000001</v>
      </c>
      <c r="O71" s="100" t="s">
        <v>12</v>
      </c>
      <c r="P71" s="101">
        <f>J71/L71*N71</f>
        <v>1580310.2699247857</v>
      </c>
      <c r="Q71" s="102">
        <f>C71-J71</f>
        <v>527935690</v>
      </c>
      <c r="R71" s="103">
        <f>G71-N71</f>
        <v>-4.6707903800000006E-2</v>
      </c>
      <c r="S71" s="104">
        <f>I71-P71</f>
        <v>-81513.90990492003</v>
      </c>
    </row>
    <row r="72" spans="1:19" x14ac:dyDescent="0.25">
      <c r="A72" s="45" t="s">
        <v>79</v>
      </c>
      <c r="B72" s="12" t="s">
        <v>9</v>
      </c>
      <c r="C72" s="13">
        <v>5406518397</v>
      </c>
      <c r="D72" s="47" t="s">
        <v>10</v>
      </c>
      <c r="E72" s="48">
        <v>1000</v>
      </c>
      <c r="F72" s="49" t="s">
        <v>11</v>
      </c>
      <c r="G72" s="17">
        <v>0.13872143680000001</v>
      </c>
      <c r="H72" s="51" t="s">
        <v>12</v>
      </c>
      <c r="I72" s="52">
        <f>C72/E72*G72</f>
        <v>750000.00011747284</v>
      </c>
      <c r="J72" s="20">
        <v>4878582707</v>
      </c>
      <c r="K72" s="55" t="s">
        <v>10</v>
      </c>
      <c r="L72" s="55">
        <v>1000</v>
      </c>
      <c r="M72" s="55" t="s">
        <v>11</v>
      </c>
      <c r="N72" s="111">
        <v>0.12298653850000001</v>
      </c>
      <c r="O72" s="54" t="s">
        <v>12</v>
      </c>
      <c r="P72" s="57">
        <f>J72/L72*N72</f>
        <v>599999.99991988984</v>
      </c>
      <c r="Q72" s="58">
        <f>C72-J72</f>
        <v>527935690</v>
      </c>
      <c r="R72" s="59">
        <f>G72-N72</f>
        <v>1.5734898300000008E-2</v>
      </c>
      <c r="S72" s="60">
        <f>I72-P72</f>
        <v>150000.00019758299</v>
      </c>
    </row>
    <row r="73" spans="1:19" x14ac:dyDescent="0.25">
      <c r="A73" s="29" t="s">
        <v>80</v>
      </c>
      <c r="B73" s="29" t="s">
        <v>9</v>
      </c>
      <c r="C73" s="30">
        <v>2118551839</v>
      </c>
      <c r="D73" s="31" t="s">
        <v>10</v>
      </c>
      <c r="E73" s="32">
        <v>1000</v>
      </c>
      <c r="F73" s="33" t="s">
        <v>11</v>
      </c>
      <c r="G73" s="34">
        <v>0.22811544710000001</v>
      </c>
      <c r="H73" s="35" t="s">
        <v>12</v>
      </c>
      <c r="I73" s="36">
        <f>C73/E73*G73</f>
        <v>483274.39995801228</v>
      </c>
      <c r="J73" s="37">
        <v>1922078214</v>
      </c>
      <c r="K73" s="39" t="s">
        <v>10</v>
      </c>
      <c r="L73" s="39">
        <v>1000</v>
      </c>
      <c r="M73" s="39" t="s">
        <v>11</v>
      </c>
      <c r="N73" s="105">
        <v>0.24225917899999999</v>
      </c>
      <c r="O73" s="38" t="s">
        <v>12</v>
      </c>
      <c r="P73" s="41">
        <f>J73/L73*N73</f>
        <v>465641.09009742626</v>
      </c>
      <c r="Q73" s="42">
        <f>C73-J73</f>
        <v>196473625</v>
      </c>
      <c r="R73" s="43">
        <f>G73-N73</f>
        <v>-1.4143731899999984E-2</v>
      </c>
      <c r="S73" s="44">
        <f>I73-P73</f>
        <v>17633.309860586014</v>
      </c>
    </row>
    <row r="74" spans="1:19" x14ac:dyDescent="0.25">
      <c r="A74" s="45" t="s">
        <v>81</v>
      </c>
      <c r="B74" s="45" t="s">
        <v>9</v>
      </c>
      <c r="C74" s="46">
        <v>27682045907</v>
      </c>
      <c r="D74" s="47" t="s">
        <v>10</v>
      </c>
      <c r="E74" s="48">
        <v>1000</v>
      </c>
      <c r="F74" s="49" t="s">
        <v>11</v>
      </c>
      <c r="G74" s="50">
        <v>0.1546193881</v>
      </c>
      <c r="H74" s="51" t="s">
        <v>12</v>
      </c>
      <c r="I74" s="52">
        <f>C74/E74*G74</f>
        <v>4280180.9994964497</v>
      </c>
      <c r="J74" s="53">
        <v>24986644006</v>
      </c>
      <c r="K74" s="55" t="s">
        <v>10</v>
      </c>
      <c r="L74" s="55">
        <v>1000</v>
      </c>
      <c r="M74" s="55" t="s">
        <v>11</v>
      </c>
      <c r="N74" s="106">
        <v>0.172241018</v>
      </c>
      <c r="O74" s="54" t="s">
        <v>12</v>
      </c>
      <c r="P74" s="57">
        <f>J74/L74*N74</f>
        <v>4303724.9999970384</v>
      </c>
      <c r="Q74" s="58">
        <f>C74-J74</f>
        <v>2695401901</v>
      </c>
      <c r="R74" s="59">
        <f>G74-N74</f>
        <v>-1.7621629899999991E-2</v>
      </c>
      <c r="S74" s="60">
        <f>I74-P74</f>
        <v>-23544.000500588678</v>
      </c>
    </row>
    <row r="75" spans="1:19" x14ac:dyDescent="0.25">
      <c r="A75" s="45" t="s">
        <v>82</v>
      </c>
      <c r="B75" s="45" t="s">
        <v>9</v>
      </c>
      <c r="C75" s="46">
        <v>27682045907</v>
      </c>
      <c r="D75" s="47" t="s">
        <v>10</v>
      </c>
      <c r="E75" s="48">
        <v>1000</v>
      </c>
      <c r="F75" s="49" t="s">
        <v>11</v>
      </c>
      <c r="G75" s="50">
        <v>0.20615083940000001</v>
      </c>
      <c r="H75" s="51" t="s">
        <v>12</v>
      </c>
      <c r="I75" s="52">
        <f>C75/E75*G75</f>
        <v>5706677.0000373852</v>
      </c>
      <c r="J75" s="53">
        <v>24986644006</v>
      </c>
      <c r="K75" s="55" t="s">
        <v>10</v>
      </c>
      <c r="L75" s="55">
        <v>1000</v>
      </c>
      <c r="M75" s="55" t="s">
        <v>11</v>
      </c>
      <c r="N75" s="106">
        <v>0.2274468311</v>
      </c>
      <c r="O75" s="54" t="s">
        <v>12</v>
      </c>
      <c r="P75" s="57">
        <f>J75/L75*N75</f>
        <v>5683132.9989885092</v>
      </c>
      <c r="Q75" s="58">
        <f>C75-J75</f>
        <v>2695401901</v>
      </c>
      <c r="R75" s="59">
        <f>G75-N75</f>
        <v>-2.1295991699999989E-2</v>
      </c>
      <c r="S75" s="60">
        <f>I75-P75</f>
        <v>23544.001048875973</v>
      </c>
    </row>
    <row r="76" spans="1:19" x14ac:dyDescent="0.25">
      <c r="C76" s="112"/>
      <c r="E76" s="113"/>
      <c r="G76" s="114"/>
      <c r="I76" s="115"/>
      <c r="P76" s="115"/>
      <c r="Q76" s="116"/>
      <c r="R76" s="117"/>
      <c r="S76" s="115"/>
    </row>
    <row r="77" spans="1:19" x14ac:dyDescent="0.25">
      <c r="G77" s="114"/>
      <c r="I77" s="115"/>
      <c r="P77" s="115"/>
      <c r="S77" s="115"/>
    </row>
    <row r="78" spans="1:19" x14ac:dyDescent="0.25">
      <c r="G78" s="114"/>
      <c r="I78" s="115"/>
      <c r="P78" s="115"/>
      <c r="S78" s="115"/>
    </row>
  </sheetData>
  <printOptions horizontalCentered="1" gridLines="1"/>
  <pageMargins left="0.5" right="0.5" top="0.5" bottom="1" header="0.3" footer="0.3"/>
  <pageSetup paperSize="5" scale="82" fitToHeight="0" orientation="landscape" r:id="rId1"/>
  <headerFooter>
    <oddHeader>&amp;C&amp;"-,Bold"&amp;14Comparison by Levy Report</oddHeader>
    <oddFooter>&amp;L&amp;"-,Bold"Legend&amp;"-,Regular":
AV =  Taxable Assessed Value
GF = General Fund
M+O&amp;O = Maintenance + Operations&amp;CPage &amp;P of &amp;N&amp;RNote: Administrative  Refund Levies are bundled with their parent levy.
Note: Figures do not include Timber Assessed Value.</oddFooter>
  </headerFooter>
  <rowBreaks count="2" manualBreakCount="2">
    <brk id="23" max="16383" man="1"/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76"/>
  <sheetViews>
    <sheetView topLeftCell="A13" zoomScale="85" zoomScaleNormal="85" workbookViewId="0">
      <selection activeCell="J37" sqref="J37"/>
    </sheetView>
  </sheetViews>
  <sheetFormatPr defaultRowHeight="15" x14ac:dyDescent="0.25"/>
  <cols>
    <col min="1" max="1" width="25.28515625" style="28" customWidth="1"/>
    <col min="2" max="2" width="7.7109375" style="28" bestFit="1" customWidth="1"/>
    <col min="3" max="3" width="13.85546875" style="28" bestFit="1" customWidth="1"/>
    <col min="4" max="4" width="3.7109375" style="113" customWidth="1"/>
    <col min="5" max="5" width="9.140625" style="28"/>
    <col min="6" max="6" width="3.7109375" style="113" customWidth="1"/>
    <col min="7" max="7" width="12.5703125" style="28" bestFit="1" customWidth="1"/>
    <col min="8" max="8" width="3.7109375" style="113" customWidth="1"/>
    <col min="9" max="9" width="15.5703125" style="28" customWidth="1"/>
    <col min="10" max="10" width="13.85546875" style="28" customWidth="1"/>
    <col min="11" max="11" width="3.7109375" style="113" customWidth="1"/>
    <col min="12" max="12" width="9.140625" style="28"/>
    <col min="13" max="13" width="3.7109375" style="113" customWidth="1"/>
    <col min="14" max="14" width="12.5703125" style="28" customWidth="1"/>
    <col min="15" max="15" width="3.7109375" style="113" customWidth="1"/>
    <col min="16" max="16" width="15.28515625" style="28" bestFit="1" customWidth="1"/>
    <col min="17" max="17" width="13.5703125" style="28" bestFit="1" customWidth="1"/>
    <col min="18" max="18" width="14.140625" style="28" bestFit="1" customWidth="1"/>
    <col min="19" max="19" width="15" style="28" bestFit="1" customWidth="1"/>
    <col min="20" max="16384" width="9.140625" style="28"/>
  </cols>
  <sheetData>
    <row r="1" spans="1:19" s="11" customFormat="1" ht="30.75" thickBot="1" x14ac:dyDescent="0.3">
      <c r="A1" s="1" t="s">
        <v>0</v>
      </c>
      <c r="B1" s="2" t="s">
        <v>1</v>
      </c>
      <c r="C1" s="3" t="s">
        <v>2</v>
      </c>
      <c r="D1" s="4"/>
      <c r="E1" s="5" t="s">
        <v>3</v>
      </c>
      <c r="F1" s="4"/>
      <c r="G1" s="3" t="s">
        <v>4</v>
      </c>
      <c r="H1" s="6"/>
      <c r="I1" s="3" t="s">
        <v>5</v>
      </c>
      <c r="J1" s="7" t="s">
        <v>89</v>
      </c>
      <c r="K1" s="7"/>
      <c r="L1" s="8" t="s">
        <v>3</v>
      </c>
      <c r="M1" s="7"/>
      <c r="N1" s="7" t="s">
        <v>90</v>
      </c>
      <c r="O1" s="9"/>
      <c r="P1" s="7" t="s">
        <v>5</v>
      </c>
      <c r="Q1" s="2" t="s">
        <v>6</v>
      </c>
      <c r="R1" s="2" t="s">
        <v>7</v>
      </c>
      <c r="S1" s="10" t="s">
        <v>5</v>
      </c>
    </row>
    <row r="2" spans="1:19" x14ac:dyDescent="0.25">
      <c r="A2" s="12" t="s">
        <v>8</v>
      </c>
      <c r="B2" s="12" t="s">
        <v>9</v>
      </c>
      <c r="C2" s="13">
        <v>39013817992</v>
      </c>
      <c r="D2" s="14" t="s">
        <v>10</v>
      </c>
      <c r="E2" s="15">
        <v>1000</v>
      </c>
      <c r="F2" s="16" t="s">
        <v>11</v>
      </c>
      <c r="G2" s="17">
        <v>2.3470951757999998</v>
      </c>
      <c r="H2" s="18" t="s">
        <v>12</v>
      </c>
      <c r="I2" s="19">
        <f>C2/E2*G2</f>
        <v>91569143.99856244</v>
      </c>
      <c r="J2" s="20">
        <v>35669895628</v>
      </c>
      <c r="K2" s="21" t="s">
        <v>10</v>
      </c>
      <c r="L2" s="22">
        <v>1000</v>
      </c>
      <c r="M2" s="22" t="s">
        <v>11</v>
      </c>
      <c r="N2" s="23">
        <v>2.4896872681</v>
      </c>
      <c r="O2" s="21" t="s">
        <v>12</v>
      </c>
      <c r="P2" s="24">
        <f>J2/L2*N2</f>
        <v>88806884.999487445</v>
      </c>
      <c r="Q2" s="25">
        <f>C2-J2</f>
        <v>3343922364</v>
      </c>
      <c r="R2" s="26">
        <f>G2-N2</f>
        <v>-0.14259209230000014</v>
      </c>
      <c r="S2" s="27">
        <f>I2-P2</f>
        <v>2762258.9990749955</v>
      </c>
    </row>
    <row r="3" spans="1:19" x14ac:dyDescent="0.25">
      <c r="A3" s="29" t="s">
        <v>13</v>
      </c>
      <c r="B3" s="29" t="s">
        <v>9</v>
      </c>
      <c r="C3" s="30">
        <v>39016841558</v>
      </c>
      <c r="D3" s="31" t="s">
        <v>10</v>
      </c>
      <c r="E3" s="32">
        <v>1000</v>
      </c>
      <c r="F3" s="33" t="s">
        <v>11</v>
      </c>
      <c r="G3" s="34">
        <v>1.4649895167</v>
      </c>
      <c r="H3" s="35" t="s">
        <v>12</v>
      </c>
      <c r="I3" s="36">
        <f t="shared" ref="I3:I72" si="0">C3/E3*G3</f>
        <v>57159263.85721489</v>
      </c>
      <c r="J3" s="37">
        <v>35672712967</v>
      </c>
      <c r="K3" s="38" t="s">
        <v>10</v>
      </c>
      <c r="L3" s="39">
        <v>1000</v>
      </c>
      <c r="M3" s="39" t="s">
        <v>11</v>
      </c>
      <c r="N3" s="40">
        <v>1.5757605926</v>
      </c>
      <c r="O3" s="38" t="s">
        <v>12</v>
      </c>
      <c r="P3" s="41">
        <f t="shared" ref="P3:P8" si="1">J3/L3*N3</f>
        <v>56211655.324529625</v>
      </c>
      <c r="Q3" s="42">
        <f t="shared" ref="Q3:Q72" si="2">C3-J3</f>
        <v>3344128591</v>
      </c>
      <c r="R3" s="43">
        <f t="shared" ref="R3:R72" si="3">G3-N3</f>
        <v>-0.11077107590000002</v>
      </c>
      <c r="S3" s="44">
        <f t="shared" ref="S3:S72" si="4">I3-P3</f>
        <v>947608.53268526495</v>
      </c>
    </row>
    <row r="4" spans="1:19" x14ac:dyDescent="0.25">
      <c r="A4" s="45" t="s">
        <v>14</v>
      </c>
      <c r="B4" s="45" t="s">
        <v>9</v>
      </c>
      <c r="C4" s="46">
        <v>39016841558</v>
      </c>
      <c r="D4" s="47" t="s">
        <v>10</v>
      </c>
      <c r="E4" s="48">
        <v>1000</v>
      </c>
      <c r="F4" s="49" t="s">
        <v>11</v>
      </c>
      <c r="G4" s="50">
        <v>5.8122356799999997E-2</v>
      </c>
      <c r="H4" s="51" t="s">
        <v>12</v>
      </c>
      <c r="I4" s="52">
        <f t="shared" si="0"/>
        <v>2267750.7862431435</v>
      </c>
      <c r="J4" s="53">
        <v>35672712967</v>
      </c>
      <c r="K4" s="54" t="s">
        <v>10</v>
      </c>
      <c r="L4" s="55">
        <v>1000</v>
      </c>
      <c r="M4" s="55" t="s">
        <v>11</v>
      </c>
      <c r="N4" s="56">
        <v>6.25E-2</v>
      </c>
      <c r="O4" s="54" t="s">
        <v>12</v>
      </c>
      <c r="P4" s="57">
        <f t="shared" si="1"/>
        <v>2229544.5604375</v>
      </c>
      <c r="Q4" s="58">
        <f t="shared" si="2"/>
        <v>3344128591</v>
      </c>
      <c r="R4" s="59">
        <f t="shared" si="3"/>
        <v>-4.3776432000000032E-3</v>
      </c>
      <c r="S4" s="60">
        <f t="shared" si="4"/>
        <v>38206.22580564348</v>
      </c>
    </row>
    <row r="5" spans="1:19" x14ac:dyDescent="0.25">
      <c r="A5" s="29" t="s">
        <v>15</v>
      </c>
      <c r="B5" s="29" t="s">
        <v>9</v>
      </c>
      <c r="C5" s="30">
        <v>18262003996</v>
      </c>
      <c r="D5" s="31" t="s">
        <v>10</v>
      </c>
      <c r="E5" s="32">
        <v>1000</v>
      </c>
      <c r="F5" s="33" t="s">
        <v>11</v>
      </c>
      <c r="G5" s="34">
        <v>1.9873577202999999</v>
      </c>
      <c r="H5" s="35" t="s">
        <v>12</v>
      </c>
      <c r="I5" s="36">
        <f t="shared" si="0"/>
        <v>36293134.629600048</v>
      </c>
      <c r="J5" s="37">
        <v>16579069840</v>
      </c>
      <c r="K5" s="38" t="s">
        <v>10</v>
      </c>
      <c r="L5" s="39">
        <v>1000</v>
      </c>
      <c r="M5" s="39" t="s">
        <v>11</v>
      </c>
      <c r="N5" s="40">
        <v>2.1595609907000002</v>
      </c>
      <c r="O5" s="38" t="s">
        <v>12</v>
      </c>
      <c r="P5" s="41">
        <f t="shared" si="1"/>
        <v>35803512.488554895</v>
      </c>
      <c r="Q5" s="42">
        <f t="shared" si="2"/>
        <v>1682934156</v>
      </c>
      <c r="R5" s="43">
        <f t="shared" si="3"/>
        <v>-0.17220327040000027</v>
      </c>
      <c r="S5" s="44">
        <f t="shared" si="4"/>
        <v>489622.14104515314</v>
      </c>
    </row>
    <row r="6" spans="1:19" x14ac:dyDescent="0.25">
      <c r="A6" s="45" t="s">
        <v>16</v>
      </c>
      <c r="B6" s="45" t="s">
        <v>9</v>
      </c>
      <c r="C6" s="46">
        <v>11681011161</v>
      </c>
      <c r="D6" s="47" t="s">
        <v>10</v>
      </c>
      <c r="E6" s="48">
        <v>1000</v>
      </c>
      <c r="F6" s="49" t="s">
        <v>11</v>
      </c>
      <c r="G6" s="50">
        <v>0.24711180739999999</v>
      </c>
      <c r="H6" s="51" t="s">
        <v>12</v>
      </c>
      <c r="I6" s="52">
        <f t="shared" si="0"/>
        <v>2886515.7802542825</v>
      </c>
      <c r="J6" s="53">
        <v>10571035227</v>
      </c>
      <c r="K6" s="54" t="s">
        <v>10</v>
      </c>
      <c r="L6" s="55">
        <v>1000</v>
      </c>
      <c r="M6" s="55" t="s">
        <v>11</v>
      </c>
      <c r="N6" s="56">
        <v>0.1646784167</v>
      </c>
      <c r="O6" s="54" t="s">
        <v>12</v>
      </c>
      <c r="P6" s="57">
        <f t="shared" si="1"/>
        <v>1740821.344062285</v>
      </c>
      <c r="Q6" s="58">
        <f t="shared" si="2"/>
        <v>1109975934</v>
      </c>
      <c r="R6" s="59">
        <f t="shared" si="3"/>
        <v>8.2433390699999998E-2</v>
      </c>
      <c r="S6" s="60">
        <f t="shared" si="4"/>
        <v>1145694.4361919975</v>
      </c>
    </row>
    <row r="7" spans="1:19" x14ac:dyDescent="0.25">
      <c r="A7" s="61" t="s">
        <v>17</v>
      </c>
      <c r="B7" s="61" t="s">
        <v>9</v>
      </c>
      <c r="C7" s="62">
        <v>36259758503</v>
      </c>
      <c r="D7" s="63" t="s">
        <v>10</v>
      </c>
      <c r="E7" s="64">
        <v>1000</v>
      </c>
      <c r="F7" s="65" t="s">
        <v>11</v>
      </c>
      <c r="G7" s="66">
        <v>0.49970392229999999</v>
      </c>
      <c r="H7" s="67" t="s">
        <v>12</v>
      </c>
      <c r="I7" s="68">
        <f t="shared" si="0"/>
        <v>18119143.545599874</v>
      </c>
      <c r="J7" s="69">
        <v>33151392643</v>
      </c>
      <c r="K7" s="70" t="s">
        <v>10</v>
      </c>
      <c r="L7" s="71">
        <v>1000</v>
      </c>
      <c r="M7" s="71" t="s">
        <v>11</v>
      </c>
      <c r="N7" s="72">
        <v>0.5</v>
      </c>
      <c r="O7" s="70" t="s">
        <v>12</v>
      </c>
      <c r="P7" s="73">
        <f t="shared" si="1"/>
        <v>16575696.3215</v>
      </c>
      <c r="Q7" s="74">
        <f t="shared" si="2"/>
        <v>3108365860</v>
      </c>
      <c r="R7" s="75">
        <f t="shared" si="3"/>
        <v>-2.960777000000081E-4</v>
      </c>
      <c r="S7" s="76">
        <f t="shared" si="4"/>
        <v>1543447.2240998745</v>
      </c>
    </row>
    <row r="8" spans="1:19" ht="30.75" thickBot="1" x14ac:dyDescent="0.3">
      <c r="A8" s="77" t="s">
        <v>18</v>
      </c>
      <c r="B8" s="61" t="s">
        <v>19</v>
      </c>
      <c r="C8" s="62">
        <v>13655199848</v>
      </c>
      <c r="D8" s="63" t="s">
        <v>10</v>
      </c>
      <c r="E8" s="64">
        <v>1000</v>
      </c>
      <c r="F8" s="65" t="s">
        <v>11</v>
      </c>
      <c r="G8" s="66">
        <v>0.23859240700000001</v>
      </c>
      <c r="H8" s="67" t="s">
        <v>12</v>
      </c>
      <c r="I8" s="68">
        <f t="shared" si="0"/>
        <v>3258026.9998003542</v>
      </c>
      <c r="J8" s="69">
        <v>12626621887</v>
      </c>
      <c r="K8" s="70" t="s">
        <v>10</v>
      </c>
      <c r="L8" s="71">
        <v>1000</v>
      </c>
      <c r="M8" s="71" t="s">
        <v>11</v>
      </c>
      <c r="N8" s="72">
        <v>0.25608425029999998</v>
      </c>
      <c r="O8" s="70" t="s">
        <v>12</v>
      </c>
      <c r="P8" s="73">
        <f t="shared" si="1"/>
        <v>3233478.999753966</v>
      </c>
      <c r="Q8" s="74">
        <f t="shared" si="2"/>
        <v>1028577961</v>
      </c>
      <c r="R8" s="75">
        <f t="shared" si="3"/>
        <v>-1.7491843299999976E-2</v>
      </c>
      <c r="S8" s="76">
        <f t="shared" si="4"/>
        <v>24548.000046388246</v>
      </c>
    </row>
    <row r="9" spans="1:19" ht="15.75" thickBot="1" x14ac:dyDescent="0.3">
      <c r="A9" s="78" t="s">
        <v>20</v>
      </c>
      <c r="B9" s="79"/>
      <c r="C9" s="80"/>
      <c r="D9" s="81"/>
      <c r="E9" s="82"/>
      <c r="F9" s="83"/>
      <c r="G9" s="84"/>
      <c r="H9" s="85"/>
      <c r="I9" s="86"/>
      <c r="J9" s="80"/>
      <c r="K9" s="85"/>
      <c r="L9" s="82"/>
      <c r="M9" s="82"/>
      <c r="N9" s="84"/>
      <c r="O9" s="85"/>
      <c r="P9" s="86"/>
      <c r="Q9" s="86"/>
      <c r="R9" s="86"/>
      <c r="S9" s="87"/>
    </row>
    <row r="10" spans="1:19" x14ac:dyDescent="0.25">
      <c r="A10" s="12" t="s">
        <v>21</v>
      </c>
      <c r="B10" s="12" t="s">
        <v>9</v>
      </c>
      <c r="C10" s="13">
        <v>1332783511</v>
      </c>
      <c r="D10" s="14" t="s">
        <v>10</v>
      </c>
      <c r="E10" s="15">
        <v>1000</v>
      </c>
      <c r="F10" s="16" t="s">
        <v>11</v>
      </c>
      <c r="G10" s="17">
        <v>1.9601285944</v>
      </c>
      <c r="H10" s="18" t="s">
        <v>12</v>
      </c>
      <c r="I10" s="19">
        <f t="shared" si="0"/>
        <v>2612427.0700559267</v>
      </c>
      <c r="J10" s="20">
        <v>1214798042</v>
      </c>
      <c r="K10" s="22" t="s">
        <v>10</v>
      </c>
      <c r="L10" s="22">
        <v>1000</v>
      </c>
      <c r="M10" s="22" t="s">
        <v>11</v>
      </c>
      <c r="N10" s="23">
        <v>2.0932457841000001</v>
      </c>
      <c r="O10" s="21" t="s">
        <v>12</v>
      </c>
      <c r="P10" s="24">
        <f>J10/L10*N10</f>
        <v>2542870.8799494347</v>
      </c>
      <c r="Q10" s="25">
        <f t="shared" si="2"/>
        <v>117985469</v>
      </c>
      <c r="R10" s="26">
        <f t="shared" si="3"/>
        <v>-0.13311718970000008</v>
      </c>
      <c r="S10" s="27">
        <f t="shared" si="4"/>
        <v>69556.190106492024</v>
      </c>
    </row>
    <row r="11" spans="1:19" x14ac:dyDescent="0.25">
      <c r="A11" s="29" t="s">
        <v>22</v>
      </c>
      <c r="B11" s="29" t="s">
        <v>9</v>
      </c>
      <c r="C11" s="30">
        <v>2757083055</v>
      </c>
      <c r="D11" s="31" t="s">
        <v>10</v>
      </c>
      <c r="E11" s="32">
        <v>1000</v>
      </c>
      <c r="F11" s="33" t="s">
        <v>11</v>
      </c>
      <c r="G11" s="34">
        <v>3.6</v>
      </c>
      <c r="H11" s="35" t="s">
        <v>12</v>
      </c>
      <c r="I11" s="36">
        <f t="shared" si="0"/>
        <v>9925498.9980000015</v>
      </c>
      <c r="J11" s="37">
        <v>2521320324</v>
      </c>
      <c r="K11" s="39" t="s">
        <v>10</v>
      </c>
      <c r="L11" s="39">
        <v>1000</v>
      </c>
      <c r="M11" s="39" t="s">
        <v>11</v>
      </c>
      <c r="N11" s="40">
        <v>3.6</v>
      </c>
      <c r="O11" s="38" t="s">
        <v>12</v>
      </c>
      <c r="P11" s="41">
        <f t="shared" ref="P11:P73" si="5">J11/L11*N11</f>
        <v>9076753.1664000005</v>
      </c>
      <c r="Q11" s="42">
        <f t="shared" si="2"/>
        <v>235762731</v>
      </c>
      <c r="R11" s="43">
        <f t="shared" si="3"/>
        <v>0</v>
      </c>
      <c r="S11" s="44">
        <f t="shared" si="4"/>
        <v>848745.83160000108</v>
      </c>
    </row>
    <row r="12" spans="1:19" x14ac:dyDescent="0.25">
      <c r="A12" s="29" t="s">
        <v>23</v>
      </c>
      <c r="B12" s="29" t="s">
        <v>9</v>
      </c>
      <c r="C12" s="30">
        <v>2757083055</v>
      </c>
      <c r="D12" s="31" t="s">
        <v>10</v>
      </c>
      <c r="E12" s="32">
        <v>1000</v>
      </c>
      <c r="F12" s="33" t="s">
        <v>11</v>
      </c>
      <c r="G12" s="34">
        <v>0.4307349385</v>
      </c>
      <c r="H12" s="35" t="s">
        <v>12</v>
      </c>
      <c r="I12" s="36">
        <f t="shared" si="0"/>
        <v>1187572.0001348171</v>
      </c>
      <c r="J12" s="37">
        <v>2521320324</v>
      </c>
      <c r="K12" s="39" t="s">
        <v>10</v>
      </c>
      <c r="L12" s="39">
        <v>1000</v>
      </c>
      <c r="M12" s="39" t="s">
        <v>11</v>
      </c>
      <c r="N12" s="40">
        <v>0.46</v>
      </c>
      <c r="O12" s="38" t="s">
        <v>12</v>
      </c>
      <c r="P12" s="41">
        <f t="shared" si="5"/>
        <v>1159807.34904</v>
      </c>
      <c r="Q12" s="42">
        <f t="shared" si="2"/>
        <v>235762731</v>
      </c>
      <c r="R12" s="43">
        <f t="shared" si="3"/>
        <v>-2.9265061500000022E-2</v>
      </c>
      <c r="S12" s="44">
        <f t="shared" si="4"/>
        <v>27764.651094817091</v>
      </c>
    </row>
    <row r="13" spans="1:19" x14ac:dyDescent="0.25">
      <c r="A13" s="29" t="s">
        <v>24</v>
      </c>
      <c r="B13" s="29" t="s">
        <v>19</v>
      </c>
      <c r="C13" s="30">
        <v>2742501293</v>
      </c>
      <c r="D13" s="31" t="s">
        <v>10</v>
      </c>
      <c r="E13" s="32">
        <v>1000</v>
      </c>
      <c r="F13" s="33" t="s">
        <v>11</v>
      </c>
      <c r="G13" s="34">
        <v>0.22829964750000001</v>
      </c>
      <c r="H13" s="35" t="s">
        <v>12</v>
      </c>
      <c r="I13" s="36">
        <f t="shared" si="0"/>
        <v>626112.07846019429</v>
      </c>
      <c r="J13" s="37">
        <v>2506736490</v>
      </c>
      <c r="K13" s="39" t="s">
        <v>10</v>
      </c>
      <c r="L13" s="39">
        <v>1000</v>
      </c>
      <c r="M13" s="39" t="s">
        <v>11</v>
      </c>
      <c r="N13" s="40">
        <v>0.24867432319999999</v>
      </c>
      <c r="O13" s="38" t="s">
        <v>12</v>
      </c>
      <c r="P13" s="41">
        <f t="shared" si="5"/>
        <v>623361.0000914936</v>
      </c>
      <c r="Q13" s="42">
        <f t="shared" si="2"/>
        <v>235764803</v>
      </c>
      <c r="R13" s="43">
        <f t="shared" si="3"/>
        <v>-2.0374675699999983E-2</v>
      </c>
      <c r="S13" s="44">
        <f t="shared" si="4"/>
        <v>2751.0783687006915</v>
      </c>
    </row>
    <row r="14" spans="1:19" x14ac:dyDescent="0.25">
      <c r="A14" s="45" t="s">
        <v>25</v>
      </c>
      <c r="B14" s="45" t="s">
        <v>9</v>
      </c>
      <c r="C14" s="46">
        <v>255348632</v>
      </c>
      <c r="D14" s="47" t="s">
        <v>10</v>
      </c>
      <c r="E14" s="48">
        <v>1000</v>
      </c>
      <c r="F14" s="49" t="s">
        <v>11</v>
      </c>
      <c r="G14" s="50">
        <v>1.4707419306</v>
      </c>
      <c r="H14" s="51" t="s">
        <v>12</v>
      </c>
      <c r="I14" s="52">
        <f t="shared" si="0"/>
        <v>375551.94000374898</v>
      </c>
      <c r="J14" s="53">
        <v>242795143</v>
      </c>
      <c r="K14" s="55" t="s">
        <v>10</v>
      </c>
      <c r="L14" s="55">
        <v>1000</v>
      </c>
      <c r="M14" s="55" t="s">
        <v>11</v>
      </c>
      <c r="N14" s="56">
        <v>1.5160836639999999</v>
      </c>
      <c r="O14" s="54" t="s">
        <v>12</v>
      </c>
      <c r="P14" s="57">
        <f t="shared" si="5"/>
        <v>368097.75000084395</v>
      </c>
      <c r="Q14" s="58">
        <f t="shared" si="2"/>
        <v>12553489</v>
      </c>
      <c r="R14" s="59">
        <f t="shared" si="3"/>
        <v>-4.5341733399999917E-2</v>
      </c>
      <c r="S14" s="60">
        <f t="shared" si="4"/>
        <v>7454.1900029050303</v>
      </c>
    </row>
    <row r="15" spans="1:19" x14ac:dyDescent="0.25">
      <c r="A15" s="29" t="s">
        <v>26</v>
      </c>
      <c r="B15" s="29" t="s">
        <v>9</v>
      </c>
      <c r="C15" s="30">
        <v>707009098</v>
      </c>
      <c r="D15" s="31" t="s">
        <v>10</v>
      </c>
      <c r="E15" s="32">
        <v>1000</v>
      </c>
      <c r="F15" s="33" t="s">
        <v>11</v>
      </c>
      <c r="G15" s="34">
        <v>1.2199774407999999</v>
      </c>
      <c r="H15" s="35" t="s">
        <v>12</v>
      </c>
      <c r="I15" s="36">
        <f t="shared" si="0"/>
        <v>862535.15000035637</v>
      </c>
      <c r="J15" s="37">
        <v>655058366</v>
      </c>
      <c r="K15" s="39" t="s">
        <v>10</v>
      </c>
      <c r="L15" s="39">
        <v>1000</v>
      </c>
      <c r="M15" s="39" t="s">
        <v>11</v>
      </c>
      <c r="N15" s="40">
        <v>1.2374000884</v>
      </c>
      <c r="O15" s="38" t="s">
        <v>12</v>
      </c>
      <c r="P15" s="41">
        <f t="shared" si="5"/>
        <v>810569.2799955596</v>
      </c>
      <c r="Q15" s="42">
        <f t="shared" si="2"/>
        <v>51950732</v>
      </c>
      <c r="R15" s="43">
        <f t="shared" si="3"/>
        <v>-1.7422647600000118E-2</v>
      </c>
      <c r="S15" s="44">
        <f t="shared" si="4"/>
        <v>51965.870004796772</v>
      </c>
    </row>
    <row r="16" spans="1:19" x14ac:dyDescent="0.25">
      <c r="A16" s="45" t="s">
        <v>27</v>
      </c>
      <c r="B16" s="45" t="s">
        <v>9</v>
      </c>
      <c r="C16" s="46">
        <v>14326177779</v>
      </c>
      <c r="D16" s="47" t="s">
        <v>10</v>
      </c>
      <c r="E16" s="48">
        <v>1000</v>
      </c>
      <c r="F16" s="49" t="s">
        <v>11</v>
      </c>
      <c r="G16" s="50">
        <v>3.0221065092999999</v>
      </c>
      <c r="H16" s="51" t="s">
        <v>12</v>
      </c>
      <c r="I16" s="52">
        <f t="shared" si="0"/>
        <v>43295235.11930491</v>
      </c>
      <c r="J16" s="53">
        <v>13222265791</v>
      </c>
      <c r="K16" s="55" t="s">
        <v>10</v>
      </c>
      <c r="L16" s="55">
        <v>1000</v>
      </c>
      <c r="M16" s="55" t="s">
        <v>11</v>
      </c>
      <c r="N16" s="56">
        <v>3.1722089876999999</v>
      </c>
      <c r="O16" s="54" t="s">
        <v>12</v>
      </c>
      <c r="P16" s="57">
        <f t="shared" si="5"/>
        <v>41943790.379968449</v>
      </c>
      <c r="Q16" s="58">
        <f t="shared" si="2"/>
        <v>1103911988</v>
      </c>
      <c r="R16" s="59">
        <f t="shared" si="3"/>
        <v>-0.15010247840000002</v>
      </c>
      <c r="S16" s="60">
        <f t="shared" si="4"/>
        <v>1351444.7393364608</v>
      </c>
    </row>
    <row r="17" spans="1:19" x14ac:dyDescent="0.25">
      <c r="A17" s="29" t="s">
        <v>28</v>
      </c>
      <c r="B17" s="29" t="s">
        <v>9</v>
      </c>
      <c r="C17" s="30">
        <v>1294782136</v>
      </c>
      <c r="D17" s="31" t="s">
        <v>10</v>
      </c>
      <c r="E17" s="32">
        <v>1000</v>
      </c>
      <c r="F17" s="33" t="s">
        <v>11</v>
      </c>
      <c r="G17" s="34">
        <v>2.9029212216000002</v>
      </c>
      <c r="H17" s="35" t="s">
        <v>12</v>
      </c>
      <c r="I17" s="36">
        <f t="shared" si="0"/>
        <v>3758650.5399429775</v>
      </c>
      <c r="J17" s="37">
        <v>1166188970</v>
      </c>
      <c r="K17" s="39" t="s">
        <v>10</v>
      </c>
      <c r="L17" s="39">
        <v>1000</v>
      </c>
      <c r="M17" s="39" t="s">
        <v>11</v>
      </c>
      <c r="N17" s="40">
        <v>3.1</v>
      </c>
      <c r="O17" s="38" t="s">
        <v>12</v>
      </c>
      <c r="P17" s="41">
        <f t="shared" si="5"/>
        <v>3615185.807</v>
      </c>
      <c r="Q17" s="42">
        <f t="shared" si="2"/>
        <v>128593166</v>
      </c>
      <c r="R17" s="43">
        <f t="shared" si="3"/>
        <v>-0.19707877839999988</v>
      </c>
      <c r="S17" s="44">
        <f t="shared" si="4"/>
        <v>143464.73294297745</v>
      </c>
    </row>
    <row r="18" spans="1:19" x14ac:dyDescent="0.25">
      <c r="A18" s="29" t="s">
        <v>29</v>
      </c>
      <c r="B18" s="29" t="s">
        <v>9</v>
      </c>
      <c r="C18" s="30">
        <v>1294782136</v>
      </c>
      <c r="D18" s="31" t="s">
        <v>10</v>
      </c>
      <c r="E18" s="32">
        <v>1000</v>
      </c>
      <c r="F18" s="33" t="s">
        <v>11</v>
      </c>
      <c r="G18" s="34">
        <v>0.49282372860000001</v>
      </c>
      <c r="H18" s="35" t="s">
        <v>12</v>
      </c>
      <c r="I18" s="36">
        <f t="shared" si="0"/>
        <v>638099.35998819233</v>
      </c>
      <c r="J18" s="37">
        <v>1166188970</v>
      </c>
      <c r="K18" s="39" t="s">
        <v>10</v>
      </c>
      <c r="L18" s="39">
        <v>1000</v>
      </c>
      <c r="M18" s="39" t="s">
        <v>11</v>
      </c>
      <c r="N18" s="40">
        <v>0.5</v>
      </c>
      <c r="O18" s="38" t="s">
        <v>12</v>
      </c>
      <c r="P18" s="41">
        <f t="shared" si="5"/>
        <v>583094.48499999999</v>
      </c>
      <c r="Q18" s="42">
        <f t="shared" si="2"/>
        <v>128593166</v>
      </c>
      <c r="R18" s="43">
        <f t="shared" si="3"/>
        <v>-7.1762713999999894E-3</v>
      </c>
      <c r="S18" s="44">
        <f t="shared" si="4"/>
        <v>55004.874988192343</v>
      </c>
    </row>
    <row r="19" spans="1:19" ht="30" x14ac:dyDescent="0.25">
      <c r="A19" s="88" t="s">
        <v>30</v>
      </c>
      <c r="B19" s="29" t="s">
        <v>19</v>
      </c>
      <c r="C19" s="30">
        <v>1281344493</v>
      </c>
      <c r="D19" s="31" t="s">
        <v>10</v>
      </c>
      <c r="E19" s="32">
        <v>1000</v>
      </c>
      <c r="F19" s="33" t="s">
        <v>11</v>
      </c>
      <c r="G19" s="34">
        <v>0.15998820080000001</v>
      </c>
      <c r="H19" s="35" t="s">
        <v>12</v>
      </c>
      <c r="I19" s="36">
        <f t="shared" si="0"/>
        <v>205000.00004005822</v>
      </c>
      <c r="J19" s="37">
        <v>1151868788</v>
      </c>
      <c r="K19" s="39" t="s">
        <v>10</v>
      </c>
      <c r="L19" s="39">
        <v>1000</v>
      </c>
      <c r="M19" s="39" t="s">
        <v>11</v>
      </c>
      <c r="N19" s="40">
        <v>9.9837760299999995E-2</v>
      </c>
      <c r="O19" s="38" t="s">
        <v>12</v>
      </c>
      <c r="P19" s="41">
        <f t="shared" si="5"/>
        <v>114999.9999533955</v>
      </c>
      <c r="Q19" s="42">
        <f t="shared" si="2"/>
        <v>129475705</v>
      </c>
      <c r="R19" s="43">
        <f t="shared" si="3"/>
        <v>6.0150440500000013E-2</v>
      </c>
      <c r="S19" s="44">
        <f t="shared" si="4"/>
        <v>90000.000086662723</v>
      </c>
    </row>
    <row r="20" spans="1:19" x14ac:dyDescent="0.25">
      <c r="A20" s="45" t="s">
        <v>31</v>
      </c>
      <c r="B20" s="45" t="s">
        <v>9</v>
      </c>
      <c r="C20" s="46">
        <v>6346529</v>
      </c>
      <c r="D20" s="47" t="s">
        <v>10</v>
      </c>
      <c r="E20" s="48">
        <v>1000</v>
      </c>
      <c r="F20" s="49" t="s">
        <v>11</v>
      </c>
      <c r="G20" s="50">
        <v>2.2332670000000001</v>
      </c>
      <c r="H20" s="51" t="s">
        <v>12</v>
      </c>
      <c r="I20" s="52">
        <f t="shared" si="0"/>
        <v>14173.493780243001</v>
      </c>
      <c r="J20" s="53">
        <v>6036432</v>
      </c>
      <c r="K20" s="55" t="s">
        <v>10</v>
      </c>
      <c r="L20" s="55">
        <v>1000</v>
      </c>
      <c r="M20" s="55" t="s">
        <v>11</v>
      </c>
      <c r="N20" s="56">
        <v>2.241339</v>
      </c>
      <c r="O20" s="54" t="s">
        <v>12</v>
      </c>
      <c r="P20" s="57">
        <f t="shared" si="5"/>
        <v>13529.690462447999</v>
      </c>
      <c r="Q20" s="58">
        <f t="shared" si="2"/>
        <v>310097</v>
      </c>
      <c r="R20" s="59">
        <f t="shared" si="3"/>
        <v>-8.0719999999998571E-3</v>
      </c>
      <c r="S20" s="60">
        <f t="shared" si="4"/>
        <v>643.80331779500193</v>
      </c>
    </row>
    <row r="21" spans="1:19" x14ac:dyDescent="0.25">
      <c r="A21" s="29" t="s">
        <v>91</v>
      </c>
      <c r="B21" s="29" t="s">
        <v>9</v>
      </c>
      <c r="C21" s="30">
        <v>75306822</v>
      </c>
      <c r="D21" s="31" t="s">
        <v>10</v>
      </c>
      <c r="E21" s="32">
        <v>1000</v>
      </c>
      <c r="F21" s="33" t="s">
        <v>11</v>
      </c>
      <c r="G21" s="34">
        <v>2.1145657958999999</v>
      </c>
      <c r="H21" s="35" t="s">
        <v>12</v>
      </c>
      <c r="I21" s="36">
        <f t="shared" si="0"/>
        <v>159241.22999912963</v>
      </c>
      <c r="J21" s="37">
        <v>65180059</v>
      </c>
      <c r="K21" s="39" t="s">
        <v>10</v>
      </c>
      <c r="L21" s="39">
        <v>1000</v>
      </c>
      <c r="M21" s="39" t="s">
        <v>11</v>
      </c>
      <c r="N21" s="40">
        <v>2.0473190881000001</v>
      </c>
      <c r="O21" s="38" t="s">
        <v>12</v>
      </c>
      <c r="P21" s="41">
        <f t="shared" si="5"/>
        <v>133444.37895418421</v>
      </c>
      <c r="Q21" s="42">
        <f t="shared" si="2"/>
        <v>10126763</v>
      </c>
      <c r="R21" s="43">
        <f t="shared" si="3"/>
        <v>6.7246707799999861E-2</v>
      </c>
      <c r="S21" s="44">
        <f t="shared" si="4"/>
        <v>25796.851044945419</v>
      </c>
    </row>
    <row r="22" spans="1:19" ht="15.75" thickBot="1" x14ac:dyDescent="0.3">
      <c r="A22" s="29" t="s">
        <v>92</v>
      </c>
      <c r="B22" s="29" t="s">
        <v>9</v>
      </c>
      <c r="C22" s="30">
        <v>75306822</v>
      </c>
      <c r="D22" s="31" t="s">
        <v>10</v>
      </c>
      <c r="E22" s="32">
        <v>1000</v>
      </c>
      <c r="F22" s="33" t="s">
        <v>11</v>
      </c>
      <c r="G22" s="34">
        <v>0.49999998670000001</v>
      </c>
      <c r="H22" s="35" t="s">
        <v>12</v>
      </c>
      <c r="I22" s="36">
        <f t="shared" si="0"/>
        <v>37653.409998419265</v>
      </c>
      <c r="J22" s="37">
        <v>65180059</v>
      </c>
      <c r="K22" s="39" t="s">
        <v>10</v>
      </c>
      <c r="L22" s="39">
        <v>1000</v>
      </c>
      <c r="M22" s="39" t="s">
        <v>11</v>
      </c>
      <c r="N22" s="40">
        <v>0.5</v>
      </c>
      <c r="O22" s="38" t="s">
        <v>12</v>
      </c>
      <c r="P22" s="41">
        <f t="shared" si="5"/>
        <v>32590.029500000001</v>
      </c>
      <c r="Q22" s="42"/>
      <c r="R22" s="43">
        <f t="shared" si="3"/>
        <v>-1.329999999022391E-8</v>
      </c>
      <c r="S22" s="44">
        <f t="shared" si="4"/>
        <v>5063.3804984192648</v>
      </c>
    </row>
    <row r="23" spans="1:19" ht="15.75" thickBot="1" x14ac:dyDescent="0.3">
      <c r="A23" s="78" t="s">
        <v>32</v>
      </c>
      <c r="B23" s="79"/>
      <c r="C23" s="80"/>
      <c r="D23" s="81"/>
      <c r="E23" s="82"/>
      <c r="F23" s="83"/>
      <c r="G23" s="84"/>
      <c r="H23" s="85"/>
      <c r="I23" s="85"/>
      <c r="J23" s="80"/>
      <c r="K23" s="80"/>
      <c r="L23" s="80"/>
      <c r="M23" s="80"/>
      <c r="N23" s="80"/>
      <c r="O23" s="80"/>
      <c r="P23" s="80"/>
      <c r="Q23" s="86"/>
      <c r="R23" s="86"/>
      <c r="S23" s="87"/>
    </row>
    <row r="24" spans="1:19" x14ac:dyDescent="0.25">
      <c r="A24" s="89" t="s">
        <v>33</v>
      </c>
      <c r="B24" s="89" t="s">
        <v>19</v>
      </c>
      <c r="C24" s="13">
        <v>12409984975</v>
      </c>
      <c r="D24" s="47" t="s">
        <v>10</v>
      </c>
      <c r="E24" s="48">
        <v>1000</v>
      </c>
      <c r="F24" s="49" t="s">
        <v>11</v>
      </c>
      <c r="G24" s="17">
        <v>3.5607700136</v>
      </c>
      <c r="H24" s="51" t="s">
        <v>12</v>
      </c>
      <c r="I24" s="52">
        <f t="shared" si="0"/>
        <v>44189102.368206546</v>
      </c>
      <c r="J24" s="53">
        <v>11441167815</v>
      </c>
      <c r="K24" s="55" t="s">
        <v>10</v>
      </c>
      <c r="L24" s="55">
        <v>1000</v>
      </c>
      <c r="M24" s="55" t="s">
        <v>11</v>
      </c>
      <c r="N24" s="56">
        <v>3.7748540319999999</v>
      </c>
      <c r="O24" s="54" t="s">
        <v>12</v>
      </c>
      <c r="P24" s="57">
        <f t="shared" si="5"/>
        <v>43188738.457241379</v>
      </c>
      <c r="Q24" s="58">
        <f t="shared" si="2"/>
        <v>968817160</v>
      </c>
      <c r="R24" s="59">
        <f t="shared" si="3"/>
        <v>-0.21408401839999991</v>
      </c>
      <c r="S24" s="60">
        <f t="shared" si="4"/>
        <v>1000363.910965167</v>
      </c>
    </row>
    <row r="25" spans="1:19" x14ac:dyDescent="0.25">
      <c r="A25" s="12" t="s">
        <v>34</v>
      </c>
      <c r="B25" s="45" t="s">
        <v>19</v>
      </c>
      <c r="C25" s="13">
        <v>12409984975</v>
      </c>
      <c r="D25" s="47" t="s">
        <v>10</v>
      </c>
      <c r="E25" s="48">
        <v>1000</v>
      </c>
      <c r="F25" s="49" t="s">
        <v>11</v>
      </c>
      <c r="G25" s="17">
        <v>1.7414183856000001</v>
      </c>
      <c r="H25" s="51" t="s">
        <v>12</v>
      </c>
      <c r="I25" s="52">
        <f t="shared" si="0"/>
        <v>21610976.000484757</v>
      </c>
      <c r="J25" s="53">
        <v>11441167815</v>
      </c>
      <c r="K25" s="55" t="s">
        <v>10</v>
      </c>
      <c r="L25" s="55">
        <v>1000</v>
      </c>
      <c r="M25" s="55" t="s">
        <v>11</v>
      </c>
      <c r="N25" s="56">
        <v>1.8510944287</v>
      </c>
      <c r="O25" s="54" t="s">
        <v>12</v>
      </c>
      <c r="P25" s="57">
        <f t="shared" si="5"/>
        <v>21178682.000168253</v>
      </c>
      <c r="Q25" s="58">
        <f t="shared" si="2"/>
        <v>968817160</v>
      </c>
      <c r="R25" s="59">
        <f t="shared" si="3"/>
        <v>-0.1096760430999999</v>
      </c>
      <c r="S25" s="60">
        <f t="shared" si="4"/>
        <v>432294.00031650439</v>
      </c>
    </row>
    <row r="26" spans="1:19" x14ac:dyDescent="0.25">
      <c r="A26" s="12" t="s">
        <v>35</v>
      </c>
      <c r="B26" s="45" t="s">
        <v>19</v>
      </c>
      <c r="C26" s="13">
        <v>12409984975</v>
      </c>
      <c r="D26" s="47" t="s">
        <v>10</v>
      </c>
      <c r="E26" s="48">
        <v>1000</v>
      </c>
      <c r="F26" s="49" t="s">
        <v>11</v>
      </c>
      <c r="G26" s="17">
        <v>0.32232109930000002</v>
      </c>
      <c r="H26" s="51" t="s">
        <v>12</v>
      </c>
      <c r="I26" s="52">
        <f t="shared" si="0"/>
        <v>3999999.9994384833</v>
      </c>
      <c r="J26" s="53">
        <v>11441167815</v>
      </c>
      <c r="K26" s="55" t="s">
        <v>10</v>
      </c>
      <c r="L26" s="55">
        <v>1000</v>
      </c>
      <c r="M26" s="55" t="s">
        <v>11</v>
      </c>
      <c r="N26" s="56">
        <v>0</v>
      </c>
      <c r="O26" s="54" t="s">
        <v>12</v>
      </c>
      <c r="P26" s="57">
        <f t="shared" si="5"/>
        <v>0</v>
      </c>
      <c r="Q26" s="58">
        <f t="shared" si="2"/>
        <v>968817160</v>
      </c>
      <c r="R26" s="59">
        <f t="shared" si="3"/>
        <v>0.32232109930000002</v>
      </c>
      <c r="S26" s="60">
        <f t="shared" si="4"/>
        <v>3999999.9994384833</v>
      </c>
    </row>
    <row r="27" spans="1:19" x14ac:dyDescent="0.25">
      <c r="A27" s="29" t="s">
        <v>36</v>
      </c>
      <c r="B27" s="29" t="s">
        <v>19</v>
      </c>
      <c r="C27" s="30">
        <v>2570274</v>
      </c>
      <c r="D27" s="31" t="s">
        <v>10</v>
      </c>
      <c r="E27" s="32">
        <v>1000</v>
      </c>
      <c r="F27" s="33" t="s">
        <v>11</v>
      </c>
      <c r="G27" s="34">
        <v>0</v>
      </c>
      <c r="H27" s="35" t="s">
        <v>12</v>
      </c>
      <c r="I27" s="36">
        <f t="shared" si="0"/>
        <v>0</v>
      </c>
      <c r="J27" s="37">
        <v>2220073</v>
      </c>
      <c r="K27" s="39" t="s">
        <v>10</v>
      </c>
      <c r="L27" s="39">
        <v>1000</v>
      </c>
      <c r="M27" s="39" t="s">
        <v>11</v>
      </c>
      <c r="N27" s="40">
        <v>2.4431705698999999</v>
      </c>
      <c r="O27" s="38" t="s">
        <v>12</v>
      </c>
      <c r="P27" s="41">
        <f t="shared" si="5"/>
        <v>5424.017016629602</v>
      </c>
      <c r="Q27" s="42">
        <f t="shared" si="2"/>
        <v>350201</v>
      </c>
      <c r="R27" s="43">
        <f t="shared" si="3"/>
        <v>-2.4431705698999999</v>
      </c>
      <c r="S27" s="44">
        <f t="shared" si="4"/>
        <v>-5424.017016629602</v>
      </c>
    </row>
    <row r="28" spans="1:19" x14ac:dyDescent="0.25">
      <c r="A28" s="45" t="s">
        <v>37</v>
      </c>
      <c r="B28" s="45" t="s">
        <v>19</v>
      </c>
      <c r="C28" s="46">
        <v>895319651</v>
      </c>
      <c r="D28" s="47" t="s">
        <v>10</v>
      </c>
      <c r="E28" s="48">
        <v>1000</v>
      </c>
      <c r="F28" s="49" t="s">
        <v>11</v>
      </c>
      <c r="G28" s="50">
        <v>3.7320456774999999</v>
      </c>
      <c r="H28" s="51" t="s">
        <v>12</v>
      </c>
      <c r="I28" s="52">
        <f t="shared" si="0"/>
        <v>3341373.8334953585</v>
      </c>
      <c r="J28" s="53">
        <v>793040198</v>
      </c>
      <c r="K28" s="55" t="s">
        <v>10</v>
      </c>
      <c r="L28" s="55">
        <v>1000</v>
      </c>
      <c r="M28" s="55" t="s">
        <v>11</v>
      </c>
      <c r="N28" s="56">
        <v>4.2324919335000004</v>
      </c>
      <c r="O28" s="54" t="s">
        <v>12</v>
      </c>
      <c r="P28" s="57">
        <f t="shared" si="5"/>
        <v>3356536.2409762433</v>
      </c>
      <c r="Q28" s="58">
        <f t="shared" si="2"/>
        <v>102279453</v>
      </c>
      <c r="R28" s="59">
        <f t="shared" si="3"/>
        <v>-0.50044625600000048</v>
      </c>
      <c r="S28" s="60">
        <f t="shared" si="4"/>
        <v>-15162.407480884809</v>
      </c>
    </row>
    <row r="29" spans="1:19" x14ac:dyDescent="0.25">
      <c r="A29" s="45" t="s">
        <v>38</v>
      </c>
      <c r="B29" s="45" t="s">
        <v>19</v>
      </c>
      <c r="C29" s="46">
        <v>895319651</v>
      </c>
      <c r="D29" s="47" t="s">
        <v>10</v>
      </c>
      <c r="E29" s="48">
        <v>1000</v>
      </c>
      <c r="F29" s="49" t="s">
        <v>11</v>
      </c>
      <c r="G29" s="50">
        <v>2.7051732332</v>
      </c>
      <c r="H29" s="51" t="s">
        <v>12</v>
      </c>
      <c r="I29" s="52">
        <f t="shared" si="0"/>
        <v>2421994.7550431653</v>
      </c>
      <c r="J29" s="53">
        <v>793040198</v>
      </c>
      <c r="K29" s="55" t="s">
        <v>10</v>
      </c>
      <c r="L29" s="55">
        <v>1000</v>
      </c>
      <c r="M29" s="55" t="s">
        <v>11</v>
      </c>
      <c r="N29" s="56">
        <v>2.9003438071000001</v>
      </c>
      <c r="O29" s="54" t="s">
        <v>12</v>
      </c>
      <c r="P29" s="57">
        <f t="shared" si="5"/>
        <v>2300089.2270506578</v>
      </c>
      <c r="Q29" s="58">
        <f t="shared" si="2"/>
        <v>102279453</v>
      </c>
      <c r="R29" s="59">
        <f t="shared" si="3"/>
        <v>-0.19517057390000003</v>
      </c>
      <c r="S29" s="60">
        <f t="shared" si="4"/>
        <v>121905.52799250744</v>
      </c>
    </row>
    <row r="30" spans="1:19" x14ac:dyDescent="0.25">
      <c r="A30" s="45" t="s">
        <v>39</v>
      </c>
      <c r="B30" s="45" t="s">
        <v>19</v>
      </c>
      <c r="C30" s="46">
        <v>895319651</v>
      </c>
      <c r="D30" s="47" t="s">
        <v>10</v>
      </c>
      <c r="E30" s="48">
        <v>1000</v>
      </c>
      <c r="F30" s="49" t="s">
        <v>11</v>
      </c>
      <c r="G30" s="50">
        <v>0.56537567369999997</v>
      </c>
      <c r="H30" s="51" t="s">
        <v>12</v>
      </c>
      <c r="I30" s="52">
        <f t="shared" si="0"/>
        <v>506191.95086097386</v>
      </c>
      <c r="J30" s="53">
        <v>793040198</v>
      </c>
      <c r="K30" s="55" t="s">
        <v>10</v>
      </c>
      <c r="L30" s="55">
        <v>1000</v>
      </c>
      <c r="M30" s="55" t="s">
        <v>11</v>
      </c>
      <c r="N30" s="56">
        <v>0.63608398519999998</v>
      </c>
      <c r="O30" s="54" t="s">
        <v>12</v>
      </c>
      <c r="P30" s="57">
        <f t="shared" si="5"/>
        <v>504440.16956763703</v>
      </c>
      <c r="Q30" s="58">
        <f t="shared" si="2"/>
        <v>102279453</v>
      </c>
      <c r="R30" s="59">
        <f t="shared" si="3"/>
        <v>-7.070831150000001E-2</v>
      </c>
      <c r="S30" s="60">
        <f t="shared" si="4"/>
        <v>1751.7812933368259</v>
      </c>
    </row>
    <row r="31" spans="1:19" x14ac:dyDescent="0.25">
      <c r="A31" s="29" t="s">
        <v>40</v>
      </c>
      <c r="B31" s="29" t="s">
        <v>19</v>
      </c>
      <c r="C31" s="30">
        <v>729846399</v>
      </c>
      <c r="D31" s="31" t="s">
        <v>10</v>
      </c>
      <c r="E31" s="32">
        <v>1000</v>
      </c>
      <c r="F31" s="33" t="s">
        <v>11</v>
      </c>
      <c r="G31" s="34">
        <v>3.5000665659000001</v>
      </c>
      <c r="H31" s="35" t="s">
        <v>12</v>
      </c>
      <c r="I31" s="36">
        <f t="shared" si="0"/>
        <v>2554510.9793824111</v>
      </c>
      <c r="J31" s="37">
        <v>678231188</v>
      </c>
      <c r="K31" s="39" t="s">
        <v>10</v>
      </c>
      <c r="L31" s="39">
        <v>1000</v>
      </c>
      <c r="M31" s="39" t="s">
        <v>11</v>
      </c>
      <c r="N31" s="40">
        <v>3.7684433857999999</v>
      </c>
      <c r="O31" s="38" t="s">
        <v>12</v>
      </c>
      <c r="P31" s="41">
        <f t="shared" si="5"/>
        <v>2555875.8344618762</v>
      </c>
      <c r="Q31" s="42">
        <f t="shared" si="2"/>
        <v>51615211</v>
      </c>
      <c r="R31" s="43">
        <f t="shared" si="3"/>
        <v>-0.26837681989999984</v>
      </c>
      <c r="S31" s="44">
        <f t="shared" si="4"/>
        <v>-1364.8550794650801</v>
      </c>
    </row>
    <row r="32" spans="1:19" x14ac:dyDescent="0.25">
      <c r="A32" s="29" t="s">
        <v>41</v>
      </c>
      <c r="B32" s="29" t="s">
        <v>19</v>
      </c>
      <c r="C32" s="30">
        <v>729846399</v>
      </c>
      <c r="D32" s="31" t="s">
        <v>10</v>
      </c>
      <c r="E32" s="32">
        <v>1000</v>
      </c>
      <c r="F32" s="33" t="s">
        <v>11</v>
      </c>
      <c r="G32" s="34">
        <v>1.6408390374999999</v>
      </c>
      <c r="H32" s="35" t="s">
        <v>12</v>
      </c>
      <c r="I32" s="36">
        <f t="shared" si="0"/>
        <v>1197560.4628580008</v>
      </c>
      <c r="J32" s="37">
        <v>678231188</v>
      </c>
      <c r="K32" s="39" t="s">
        <v>10</v>
      </c>
      <c r="L32" s="39">
        <v>1000</v>
      </c>
      <c r="M32" s="39" t="s">
        <v>11</v>
      </c>
      <c r="N32" s="40">
        <v>1.7203144599</v>
      </c>
      <c r="O32" s="38" t="s">
        <v>12</v>
      </c>
      <c r="P32" s="41">
        <f t="shared" si="5"/>
        <v>1166770.9198715552</v>
      </c>
      <c r="Q32" s="42">
        <f t="shared" si="2"/>
        <v>51615211</v>
      </c>
      <c r="R32" s="43">
        <f t="shared" si="3"/>
        <v>-7.9475422400000051E-2</v>
      </c>
      <c r="S32" s="44">
        <f t="shared" si="4"/>
        <v>30789.542986445595</v>
      </c>
    </row>
    <row r="33" spans="1:19" x14ac:dyDescent="0.25">
      <c r="A33" s="45" t="s">
        <v>42</v>
      </c>
      <c r="B33" s="45" t="s">
        <v>19</v>
      </c>
      <c r="C33" s="46">
        <v>140092807</v>
      </c>
      <c r="D33" s="47" t="s">
        <v>10</v>
      </c>
      <c r="E33" s="48">
        <v>1000</v>
      </c>
      <c r="F33" s="49" t="s">
        <v>11</v>
      </c>
      <c r="G33" s="50">
        <v>2.5712730000000001</v>
      </c>
      <c r="H33" s="51" t="s">
        <v>12</v>
      </c>
      <c r="I33" s="52">
        <f t="shared" si="0"/>
        <v>360216.85213331104</v>
      </c>
      <c r="J33" s="53">
        <v>128985975</v>
      </c>
      <c r="K33" s="55" t="s">
        <v>10</v>
      </c>
      <c r="L33" s="55">
        <v>1000</v>
      </c>
      <c r="M33" s="55" t="s">
        <v>11</v>
      </c>
      <c r="N33" s="56">
        <v>2.5776280222999999</v>
      </c>
      <c r="O33" s="54" t="s">
        <v>12</v>
      </c>
      <c r="P33" s="57">
        <f t="shared" si="5"/>
        <v>332477.86364368722</v>
      </c>
      <c r="Q33" s="58">
        <f t="shared" si="2"/>
        <v>11106832</v>
      </c>
      <c r="R33" s="59">
        <f t="shared" si="3"/>
        <v>-6.3550222999997352E-3</v>
      </c>
      <c r="S33" s="60">
        <f t="shared" si="4"/>
        <v>27738.988489623822</v>
      </c>
    </row>
    <row r="34" spans="1:19" x14ac:dyDescent="0.25">
      <c r="A34" s="45" t="s">
        <v>43</v>
      </c>
      <c r="B34" s="45" t="s">
        <v>19</v>
      </c>
      <c r="C34" s="46">
        <v>140092807</v>
      </c>
      <c r="D34" s="47" t="s">
        <v>10</v>
      </c>
      <c r="E34" s="48">
        <v>1000</v>
      </c>
      <c r="F34" s="49" t="s">
        <v>11</v>
      </c>
      <c r="G34" s="50">
        <v>2.1292582864999998</v>
      </c>
      <c r="H34" s="51" t="s">
        <v>12</v>
      </c>
      <c r="I34" s="52">
        <f t="shared" si="0"/>
        <v>298293.77018379519</v>
      </c>
      <c r="J34" s="53">
        <v>128985975</v>
      </c>
      <c r="K34" s="55" t="s">
        <v>10</v>
      </c>
      <c r="L34" s="55">
        <v>1000</v>
      </c>
      <c r="M34" s="55" t="s">
        <v>11</v>
      </c>
      <c r="N34" s="56">
        <v>2.2379855742000001</v>
      </c>
      <c r="O34" s="54" t="s">
        <v>12</v>
      </c>
      <c r="P34" s="57">
        <f t="shared" si="5"/>
        <v>288668.7513241219</v>
      </c>
      <c r="Q34" s="58">
        <f t="shared" si="2"/>
        <v>11106832</v>
      </c>
      <c r="R34" s="59">
        <f t="shared" si="3"/>
        <v>-0.10872728770000029</v>
      </c>
      <c r="S34" s="60">
        <f t="shared" si="4"/>
        <v>9625.0188596732914</v>
      </c>
    </row>
    <row r="35" spans="1:19" x14ac:dyDescent="0.25">
      <c r="A35" s="29" t="s">
        <v>44</v>
      </c>
      <c r="B35" s="29" t="s">
        <v>19</v>
      </c>
      <c r="C35" s="30">
        <v>111672265</v>
      </c>
      <c r="D35" s="31" t="s">
        <v>10</v>
      </c>
      <c r="E35" s="32">
        <v>1000</v>
      </c>
      <c r="F35" s="33" t="s">
        <v>11</v>
      </c>
      <c r="G35" s="34">
        <v>3.5005663086999999</v>
      </c>
      <c r="H35" s="35" t="s">
        <v>12</v>
      </c>
      <c r="I35" s="36">
        <f t="shared" si="0"/>
        <v>390916.16847521818</v>
      </c>
      <c r="J35" s="37">
        <v>101200371</v>
      </c>
      <c r="K35" s="39" t="s">
        <v>10</v>
      </c>
      <c r="L35" s="39">
        <v>1000</v>
      </c>
      <c r="M35" s="39" t="s">
        <v>11</v>
      </c>
      <c r="N35" s="40">
        <v>3.8363231875000001</v>
      </c>
      <c r="O35" s="38" t="s">
        <v>12</v>
      </c>
      <c r="P35" s="41">
        <f t="shared" si="5"/>
        <v>388237.32985090255</v>
      </c>
      <c r="Q35" s="42">
        <f t="shared" si="2"/>
        <v>10471894</v>
      </c>
      <c r="R35" s="43">
        <f t="shared" si="3"/>
        <v>-0.33575687880000027</v>
      </c>
      <c r="S35" s="44">
        <f t="shared" si="4"/>
        <v>2678.8386243156274</v>
      </c>
    </row>
    <row r="36" spans="1:19" x14ac:dyDescent="0.25">
      <c r="A36" s="29" t="s">
        <v>45</v>
      </c>
      <c r="B36" s="29" t="s">
        <v>19</v>
      </c>
      <c r="C36" s="30">
        <v>111672265</v>
      </c>
      <c r="D36" s="31" t="s">
        <v>10</v>
      </c>
      <c r="E36" s="32">
        <v>1000</v>
      </c>
      <c r="F36" s="33" t="s">
        <v>11</v>
      </c>
      <c r="G36" s="34">
        <v>0</v>
      </c>
      <c r="H36" s="35" t="s">
        <v>12</v>
      </c>
      <c r="I36" s="36">
        <f t="shared" si="0"/>
        <v>0</v>
      </c>
      <c r="J36" s="37">
        <v>101200371</v>
      </c>
      <c r="K36" s="39" t="s">
        <v>10</v>
      </c>
      <c r="L36" s="39">
        <v>1000</v>
      </c>
      <c r="M36" s="39" t="s">
        <v>11</v>
      </c>
      <c r="N36" s="40">
        <v>0</v>
      </c>
      <c r="O36" s="38" t="s">
        <v>12</v>
      </c>
      <c r="P36" s="41">
        <f t="shared" si="5"/>
        <v>0</v>
      </c>
      <c r="Q36" s="42">
        <f t="shared" si="2"/>
        <v>10471894</v>
      </c>
      <c r="R36" s="43">
        <f t="shared" si="3"/>
        <v>0</v>
      </c>
      <c r="S36" s="44">
        <f t="shared" si="4"/>
        <v>0</v>
      </c>
    </row>
    <row r="37" spans="1:19" x14ac:dyDescent="0.25">
      <c r="A37" s="29" t="s">
        <v>46</v>
      </c>
      <c r="B37" s="29" t="s">
        <v>19</v>
      </c>
      <c r="C37" s="30">
        <v>111672265</v>
      </c>
      <c r="D37" s="31" t="s">
        <v>10</v>
      </c>
      <c r="E37" s="32">
        <v>1000</v>
      </c>
      <c r="F37" s="33" t="s">
        <v>11</v>
      </c>
      <c r="G37" s="34">
        <v>0.5983607702</v>
      </c>
      <c r="H37" s="35" t="s">
        <v>12</v>
      </c>
      <c r="I37" s="36">
        <f t="shared" si="0"/>
        <v>66820.302495378506</v>
      </c>
      <c r="J37" s="37" t="s">
        <v>93</v>
      </c>
      <c r="K37" s="39" t="s">
        <v>10</v>
      </c>
      <c r="L37" s="39">
        <v>1000</v>
      </c>
      <c r="M37" s="39" t="s">
        <v>11</v>
      </c>
      <c r="N37" s="40">
        <v>0</v>
      </c>
      <c r="O37" s="38" t="s">
        <v>12</v>
      </c>
      <c r="P37" s="41">
        <v>0</v>
      </c>
      <c r="Q37" s="42">
        <f>C37</f>
        <v>111672265</v>
      </c>
      <c r="R37" s="43">
        <f t="shared" si="3"/>
        <v>0.5983607702</v>
      </c>
      <c r="S37" s="44">
        <f t="shared" si="4"/>
        <v>66820.302495378506</v>
      </c>
    </row>
    <row r="38" spans="1:19" x14ac:dyDescent="0.25">
      <c r="A38" s="45" t="s">
        <v>47</v>
      </c>
      <c r="B38" s="45" t="s">
        <v>19</v>
      </c>
      <c r="C38" s="46">
        <v>1597499289</v>
      </c>
      <c r="D38" s="47" t="s">
        <v>10</v>
      </c>
      <c r="E38" s="48">
        <v>1000</v>
      </c>
      <c r="F38" s="49" t="s">
        <v>11</v>
      </c>
      <c r="G38" s="50">
        <v>2.6744294467</v>
      </c>
      <c r="H38" s="51" t="s">
        <v>12</v>
      </c>
      <c r="I38" s="52">
        <f t="shared" si="0"/>
        <v>4272399.1395839136</v>
      </c>
      <c r="J38" s="53">
        <v>1466644346</v>
      </c>
      <c r="K38" s="55" t="s">
        <v>10</v>
      </c>
      <c r="L38" s="55">
        <v>1000</v>
      </c>
      <c r="M38" s="55" t="s">
        <v>11</v>
      </c>
      <c r="N38" s="56">
        <v>2.8988479507</v>
      </c>
      <c r="O38" s="54" t="s">
        <v>12</v>
      </c>
      <c r="P38" s="57">
        <f t="shared" si="5"/>
        <v>4251578.9568078415</v>
      </c>
      <c r="Q38" s="58">
        <f t="shared" si="2"/>
        <v>130854943</v>
      </c>
      <c r="R38" s="59">
        <f t="shared" si="3"/>
        <v>-0.22441850399999996</v>
      </c>
      <c r="S38" s="60">
        <f t="shared" si="4"/>
        <v>20820.182776072063</v>
      </c>
    </row>
    <row r="39" spans="1:19" x14ac:dyDescent="0.25">
      <c r="A39" s="45" t="s">
        <v>48</v>
      </c>
      <c r="B39" s="45" t="s">
        <v>19</v>
      </c>
      <c r="C39" s="46">
        <v>1597499289</v>
      </c>
      <c r="D39" s="47" t="s">
        <v>10</v>
      </c>
      <c r="E39" s="48">
        <v>1000</v>
      </c>
      <c r="F39" s="49" t="s">
        <v>11</v>
      </c>
      <c r="G39" s="50">
        <v>1.7791651494</v>
      </c>
      <c r="H39" s="51" t="s">
        <v>12</v>
      </c>
      <c r="I39" s="52">
        <f t="shared" si="0"/>
        <v>2842215.0611800789</v>
      </c>
      <c r="J39" s="53">
        <v>1466644346</v>
      </c>
      <c r="K39" s="55" t="s">
        <v>10</v>
      </c>
      <c r="L39" s="55">
        <v>1000</v>
      </c>
      <c r="M39" s="55" t="s">
        <v>11</v>
      </c>
      <c r="N39" s="56">
        <v>1.9307380524</v>
      </c>
      <c r="O39" s="54" t="s">
        <v>12</v>
      </c>
      <c r="P39" s="57">
        <f t="shared" si="5"/>
        <v>2831706.0481595113</v>
      </c>
      <c r="Q39" s="58">
        <f t="shared" si="2"/>
        <v>130854943</v>
      </c>
      <c r="R39" s="59">
        <f t="shared" si="3"/>
        <v>-0.15157290299999993</v>
      </c>
      <c r="S39" s="60">
        <f t="shared" si="4"/>
        <v>10509.013020567596</v>
      </c>
    </row>
    <row r="40" spans="1:19" x14ac:dyDescent="0.25">
      <c r="A40" s="45" t="s">
        <v>49</v>
      </c>
      <c r="B40" s="45" t="s">
        <v>19</v>
      </c>
      <c r="C40" s="46">
        <v>1597499289</v>
      </c>
      <c r="D40" s="47" t="s">
        <v>10</v>
      </c>
      <c r="E40" s="48">
        <v>1000</v>
      </c>
      <c r="F40" s="49" t="s">
        <v>11</v>
      </c>
      <c r="G40" s="50">
        <v>0.1308209686</v>
      </c>
      <c r="H40" s="51" t="s">
        <v>12</v>
      </c>
      <c r="I40" s="52">
        <f t="shared" si="0"/>
        <v>208986.40432479134</v>
      </c>
      <c r="J40" s="53">
        <v>1466644346</v>
      </c>
      <c r="K40" s="55" t="s">
        <v>10</v>
      </c>
      <c r="L40" s="55">
        <v>1000</v>
      </c>
      <c r="M40" s="55" t="s">
        <v>11</v>
      </c>
      <c r="N40" s="56">
        <v>0.1419660331</v>
      </c>
      <c r="O40" s="54" t="s">
        <v>12</v>
      </c>
      <c r="P40" s="57">
        <f t="shared" si="5"/>
        <v>208213.67977016384</v>
      </c>
      <c r="Q40" s="58">
        <f t="shared" si="2"/>
        <v>130854943</v>
      </c>
      <c r="R40" s="59">
        <f t="shared" si="3"/>
        <v>-1.1145064499999996E-2</v>
      </c>
      <c r="S40" s="60">
        <f t="shared" si="4"/>
        <v>772.72455462749349</v>
      </c>
    </row>
    <row r="41" spans="1:19" x14ac:dyDescent="0.25">
      <c r="A41" s="29" t="s">
        <v>50</v>
      </c>
      <c r="B41" s="29" t="s">
        <v>19</v>
      </c>
      <c r="C41" s="30">
        <v>11226786654</v>
      </c>
      <c r="D41" s="31" t="s">
        <v>10</v>
      </c>
      <c r="E41" s="32">
        <v>1000</v>
      </c>
      <c r="F41" s="33" t="s">
        <v>11</v>
      </c>
      <c r="G41" s="34">
        <v>3.9563288874999998</v>
      </c>
      <c r="H41" s="35" t="s">
        <v>12</v>
      </c>
      <c r="I41" s="36">
        <f t="shared" si="0"/>
        <v>44416860.353019662</v>
      </c>
      <c r="J41" s="37">
        <v>10241626517</v>
      </c>
      <c r="K41" s="39" t="s">
        <v>10</v>
      </c>
      <c r="L41" s="39">
        <v>1000</v>
      </c>
      <c r="M41" s="39" t="s">
        <v>11</v>
      </c>
      <c r="N41" s="40">
        <v>4.2442751783999997</v>
      </c>
      <c r="O41" s="38" t="s">
        <v>12</v>
      </c>
      <c r="P41" s="41">
        <f t="shared" si="5"/>
        <v>43468281.212546349</v>
      </c>
      <c r="Q41" s="42">
        <f t="shared" si="2"/>
        <v>985160137</v>
      </c>
      <c r="R41" s="43">
        <f t="shared" si="3"/>
        <v>-0.2879462908999999</v>
      </c>
      <c r="S41" s="44">
        <f t="shared" si="4"/>
        <v>948579.14047331363</v>
      </c>
    </row>
    <row r="42" spans="1:19" x14ac:dyDescent="0.25">
      <c r="A42" s="29" t="s">
        <v>51</v>
      </c>
      <c r="B42" s="29" t="s">
        <v>19</v>
      </c>
      <c r="C42" s="30">
        <v>11226786654</v>
      </c>
      <c r="D42" s="31" t="s">
        <v>10</v>
      </c>
      <c r="E42" s="32">
        <v>1000</v>
      </c>
      <c r="F42" s="33" t="s">
        <v>11</v>
      </c>
      <c r="G42" s="34">
        <v>1.9595772728</v>
      </c>
      <c r="H42" s="35" t="s">
        <v>12</v>
      </c>
      <c r="I42" s="36">
        <f t="shared" si="0"/>
        <v>21999755.973752756</v>
      </c>
      <c r="J42" s="37">
        <v>10241626517</v>
      </c>
      <c r="K42" s="39" t="s">
        <v>10</v>
      </c>
      <c r="L42" s="39">
        <v>1000</v>
      </c>
      <c r="M42" s="39" t="s">
        <v>11</v>
      </c>
      <c r="N42" s="40">
        <v>2.0113718358999999</v>
      </c>
      <c r="O42" s="38" t="s">
        <v>12</v>
      </c>
      <c r="P42" s="41">
        <f t="shared" si="5"/>
        <v>20599719.130100414</v>
      </c>
      <c r="Q42" s="42">
        <f t="shared" si="2"/>
        <v>985160137</v>
      </c>
      <c r="R42" s="43">
        <f t="shared" si="3"/>
        <v>-5.1794563099999857E-2</v>
      </c>
      <c r="S42" s="44">
        <f t="shared" si="4"/>
        <v>1400036.8436523415</v>
      </c>
    </row>
    <row r="43" spans="1:19" x14ac:dyDescent="0.25">
      <c r="A43" s="45" t="s">
        <v>52</v>
      </c>
      <c r="B43" s="45" t="s">
        <v>19</v>
      </c>
      <c r="C43" s="46">
        <v>3719536437</v>
      </c>
      <c r="D43" s="47" t="s">
        <v>10</v>
      </c>
      <c r="E43" s="48">
        <v>1000</v>
      </c>
      <c r="F43" s="49" t="s">
        <v>11</v>
      </c>
      <c r="G43" s="50">
        <v>3.0803462569</v>
      </c>
      <c r="H43" s="51" t="s">
        <v>12</v>
      </c>
      <c r="I43" s="52">
        <f t="shared" si="0"/>
        <v>11457460.141116112</v>
      </c>
      <c r="J43" s="53">
        <v>3347331995</v>
      </c>
      <c r="K43" s="55" t="s">
        <v>10</v>
      </c>
      <c r="L43" s="55">
        <v>1000</v>
      </c>
      <c r="M43" s="55" t="s">
        <v>11</v>
      </c>
      <c r="N43" s="56">
        <v>3.2866648658000002</v>
      </c>
      <c r="O43" s="54" t="s">
        <v>12</v>
      </c>
      <c r="P43" s="57">
        <f t="shared" si="5"/>
        <v>11001558.462134723</v>
      </c>
      <c r="Q43" s="58">
        <f t="shared" si="2"/>
        <v>372204442</v>
      </c>
      <c r="R43" s="59">
        <f t="shared" si="3"/>
        <v>-0.2063186089000002</v>
      </c>
      <c r="S43" s="60">
        <f t="shared" si="4"/>
        <v>455901.67898138985</v>
      </c>
    </row>
    <row r="44" spans="1:19" x14ac:dyDescent="0.25">
      <c r="A44" s="45" t="s">
        <v>53</v>
      </c>
      <c r="B44" s="45" t="s">
        <v>19</v>
      </c>
      <c r="C44" s="46">
        <v>3719536437</v>
      </c>
      <c r="D44" s="47" t="s">
        <v>10</v>
      </c>
      <c r="E44" s="48">
        <v>1000</v>
      </c>
      <c r="F44" s="49" t="s">
        <v>11</v>
      </c>
      <c r="G44" s="50">
        <v>3.2112358749999999</v>
      </c>
      <c r="H44" s="51" t="s">
        <v>12</v>
      </c>
      <c r="I44" s="52">
        <f t="shared" si="0"/>
        <v>11944308.844864076</v>
      </c>
      <c r="J44" s="53">
        <v>3347331995</v>
      </c>
      <c r="K44" s="55" t="s">
        <v>10</v>
      </c>
      <c r="L44" s="55">
        <v>1000</v>
      </c>
      <c r="M44" s="55" t="s">
        <v>11</v>
      </c>
      <c r="N44" s="56">
        <v>4.3581905175999998</v>
      </c>
      <c r="O44" s="54" t="s">
        <v>12</v>
      </c>
      <c r="P44" s="57">
        <f t="shared" si="5"/>
        <v>14588310.55986809</v>
      </c>
      <c r="Q44" s="58">
        <f t="shared" si="2"/>
        <v>372204442</v>
      </c>
      <c r="R44" s="59">
        <f t="shared" si="3"/>
        <v>-1.1469546425999999</v>
      </c>
      <c r="S44" s="60">
        <f t="shared" si="4"/>
        <v>-2644001.7150040139</v>
      </c>
    </row>
    <row r="45" spans="1:19" x14ac:dyDescent="0.25">
      <c r="A45" s="45" t="s">
        <v>54</v>
      </c>
      <c r="B45" s="45" t="s">
        <v>19</v>
      </c>
      <c r="C45" s="46">
        <v>3719536437</v>
      </c>
      <c r="D45" s="47" t="s">
        <v>10</v>
      </c>
      <c r="E45" s="48">
        <v>1000</v>
      </c>
      <c r="F45" s="49" t="s">
        <v>11</v>
      </c>
      <c r="G45" s="50">
        <v>0.3461476094</v>
      </c>
      <c r="H45" s="51" t="s">
        <v>12</v>
      </c>
      <c r="I45" s="52">
        <f t="shared" si="0"/>
        <v>1287508.6457437437</v>
      </c>
      <c r="J45" s="53">
        <v>3347331995</v>
      </c>
      <c r="K45" s="55" t="s">
        <v>10</v>
      </c>
      <c r="L45" s="55">
        <v>1000</v>
      </c>
      <c r="M45" s="55" t="s">
        <v>11</v>
      </c>
      <c r="N45" s="56">
        <v>0.38143526020000001</v>
      </c>
      <c r="O45" s="54" t="s">
        <v>12</v>
      </c>
      <c r="P45" s="57">
        <f t="shared" si="5"/>
        <v>1276790.4504886102</v>
      </c>
      <c r="Q45" s="58">
        <f t="shared" si="2"/>
        <v>372204442</v>
      </c>
      <c r="R45" s="59">
        <f t="shared" si="3"/>
        <v>-3.5287650800000014E-2</v>
      </c>
      <c r="S45" s="60">
        <f t="shared" si="4"/>
        <v>10718.195255133556</v>
      </c>
    </row>
    <row r="46" spans="1:19" x14ac:dyDescent="0.25">
      <c r="A46" s="29" t="s">
        <v>55</v>
      </c>
      <c r="B46" s="29" t="s">
        <v>19</v>
      </c>
      <c r="C46" s="30">
        <v>5811837059</v>
      </c>
      <c r="D46" s="31" t="s">
        <v>10</v>
      </c>
      <c r="E46" s="32">
        <v>1000</v>
      </c>
      <c r="F46" s="33" t="s">
        <v>11</v>
      </c>
      <c r="G46" s="34">
        <v>4.1403666434000002</v>
      </c>
      <c r="H46" s="35" t="s">
        <v>12</v>
      </c>
      <c r="I46" s="36">
        <f>C46/E46*G46</f>
        <v>24063136.295959558</v>
      </c>
      <c r="J46" s="37">
        <v>5300439034</v>
      </c>
      <c r="K46" s="39" t="s">
        <v>10</v>
      </c>
      <c r="L46" s="39">
        <v>1000</v>
      </c>
      <c r="M46" s="39" t="s">
        <v>11</v>
      </c>
      <c r="N46" s="40">
        <v>4.2509251899000002</v>
      </c>
      <c r="O46" s="38" t="s">
        <v>12</v>
      </c>
      <c r="P46" s="41">
        <f>J46/L46*N46</f>
        <v>22531769.807159822</v>
      </c>
      <c r="Q46" s="42">
        <f>C46-J46</f>
        <v>511398025</v>
      </c>
      <c r="R46" s="43">
        <f>G46-N46</f>
        <v>-0.11055854650000008</v>
      </c>
      <c r="S46" s="44">
        <f>I46-P46</f>
        <v>1531366.4887997359</v>
      </c>
    </row>
    <row r="47" spans="1:19" x14ac:dyDescent="0.25">
      <c r="A47" s="29" t="s">
        <v>56</v>
      </c>
      <c r="B47" s="29" t="s">
        <v>19</v>
      </c>
      <c r="C47" s="30">
        <v>5811837059</v>
      </c>
      <c r="D47" s="31" t="s">
        <v>10</v>
      </c>
      <c r="E47" s="32">
        <v>1000</v>
      </c>
      <c r="F47" s="33" t="s">
        <v>11</v>
      </c>
      <c r="G47" s="34">
        <v>0.85308370450000004</v>
      </c>
      <c r="H47" s="35" t="s">
        <v>12</v>
      </c>
      <c r="I47" s="36">
        <f t="shared" ref="I47:I49" si="6">C47/E47*G47</f>
        <v>4957983.4882421056</v>
      </c>
      <c r="J47" s="37">
        <v>5300439034</v>
      </c>
      <c r="K47" s="39" t="s">
        <v>10</v>
      </c>
      <c r="L47" s="39">
        <v>1000</v>
      </c>
      <c r="M47" s="39" t="s">
        <v>11</v>
      </c>
      <c r="N47" s="40">
        <v>0.95945587830000001</v>
      </c>
      <c r="O47" s="38" t="s">
        <v>12</v>
      </c>
      <c r="P47" s="41">
        <f t="shared" ref="P47:P49" si="7">J47/L47*N47</f>
        <v>5085537.3887420734</v>
      </c>
      <c r="Q47" s="42">
        <f t="shared" ref="Q47:Q49" si="8">C47-J47</f>
        <v>511398025</v>
      </c>
      <c r="R47" s="43">
        <f t="shared" ref="R47:R49" si="9">G47-N47</f>
        <v>-0.10637217379999997</v>
      </c>
      <c r="S47" s="44">
        <f t="shared" ref="S47:S49" si="10">I47-P47</f>
        <v>-127553.90049996786</v>
      </c>
    </row>
    <row r="48" spans="1:19" x14ac:dyDescent="0.25">
      <c r="A48" s="45" t="s">
        <v>57</v>
      </c>
      <c r="B48" s="45" t="s">
        <v>19</v>
      </c>
      <c r="C48" s="46">
        <v>1905391235</v>
      </c>
      <c r="D48" s="47" t="s">
        <v>10</v>
      </c>
      <c r="E48" s="48">
        <v>1000</v>
      </c>
      <c r="F48" s="49" t="s">
        <v>11</v>
      </c>
      <c r="G48" s="50">
        <v>2.1692226314999998</v>
      </c>
      <c r="H48" s="51" t="s">
        <v>12</v>
      </c>
      <c r="I48" s="52">
        <f t="shared" si="6"/>
        <v>4133217.788823735</v>
      </c>
      <c r="J48" s="53">
        <v>1731829455</v>
      </c>
      <c r="K48" s="55" t="s">
        <v>10</v>
      </c>
      <c r="L48" s="55">
        <v>1000</v>
      </c>
      <c r="M48" s="55" t="s">
        <v>11</v>
      </c>
      <c r="N48" s="56">
        <v>2.2668252880000002</v>
      </c>
      <c r="O48" s="54" t="s">
        <v>12</v>
      </c>
      <c r="P48" s="57">
        <f t="shared" si="7"/>
        <v>3925754.8030972583</v>
      </c>
      <c r="Q48" s="58">
        <f t="shared" si="8"/>
        <v>173561780</v>
      </c>
      <c r="R48" s="59">
        <f t="shared" si="9"/>
        <v>-9.7602656500000329E-2</v>
      </c>
      <c r="S48" s="60">
        <f t="shared" si="10"/>
        <v>207462.98572647665</v>
      </c>
    </row>
    <row r="49" spans="1:19" ht="15.75" thickBot="1" x14ac:dyDescent="0.3">
      <c r="A49" s="45" t="s">
        <v>58</v>
      </c>
      <c r="B49" s="45" t="s">
        <v>19</v>
      </c>
      <c r="C49" s="46">
        <v>1905391235</v>
      </c>
      <c r="D49" s="47" t="s">
        <v>10</v>
      </c>
      <c r="E49" s="48">
        <v>1000</v>
      </c>
      <c r="F49" s="49" t="s">
        <v>11</v>
      </c>
      <c r="G49" s="50">
        <v>1.6056912270999999</v>
      </c>
      <c r="H49" s="51" t="s">
        <v>12</v>
      </c>
      <c r="I49" s="52">
        <f t="shared" si="6"/>
        <v>3059469.9902327345</v>
      </c>
      <c r="J49" s="53">
        <v>1731829455</v>
      </c>
      <c r="K49" s="55" t="s">
        <v>10</v>
      </c>
      <c r="L49" s="55">
        <v>1000</v>
      </c>
      <c r="M49" s="55" t="s">
        <v>11</v>
      </c>
      <c r="N49" s="56">
        <v>1.723769605</v>
      </c>
      <c r="O49" s="54" t="s">
        <v>12</v>
      </c>
      <c r="P49" s="57">
        <f t="shared" si="7"/>
        <v>2985274.9755727155</v>
      </c>
      <c r="Q49" s="58">
        <f t="shared" si="8"/>
        <v>173561780</v>
      </c>
      <c r="R49" s="59">
        <f t="shared" si="9"/>
        <v>-0.11807837790000009</v>
      </c>
      <c r="S49" s="60">
        <f t="shared" si="10"/>
        <v>74195.014660018962</v>
      </c>
    </row>
    <row r="50" spans="1:19" ht="15.75" thickBot="1" x14ac:dyDescent="0.3">
      <c r="A50" s="78" t="s">
        <v>59</v>
      </c>
      <c r="B50" s="79"/>
      <c r="C50" s="80"/>
      <c r="D50" s="81"/>
      <c r="E50" s="82"/>
      <c r="F50" s="83"/>
      <c r="G50" s="84"/>
      <c r="H50" s="85"/>
      <c r="I50" s="85"/>
      <c r="J50" s="80"/>
      <c r="K50" s="80"/>
      <c r="L50" s="80"/>
      <c r="M50" s="80"/>
      <c r="N50" s="80"/>
      <c r="O50" s="80"/>
      <c r="P50" s="80"/>
      <c r="Q50" s="86"/>
      <c r="R50" s="86"/>
      <c r="S50" s="87"/>
    </row>
    <row r="51" spans="1:19" x14ac:dyDescent="0.25">
      <c r="A51" s="45" t="s">
        <v>60</v>
      </c>
      <c r="B51" s="45" t="s">
        <v>9</v>
      </c>
      <c r="C51" s="46">
        <v>197420683</v>
      </c>
      <c r="D51" s="47" t="s">
        <v>10</v>
      </c>
      <c r="E51" s="48">
        <v>1000</v>
      </c>
      <c r="F51" s="49" t="s">
        <v>11</v>
      </c>
      <c r="G51" s="50">
        <v>0.77388669560000001</v>
      </c>
      <c r="H51" s="51" t="s">
        <v>12</v>
      </c>
      <c r="I51" s="52">
        <f t="shared" si="0"/>
        <v>152781.24000996508</v>
      </c>
      <c r="J51" s="53">
        <v>182824081</v>
      </c>
      <c r="K51" s="55" t="s">
        <v>10</v>
      </c>
      <c r="L51" s="55">
        <v>1000</v>
      </c>
      <c r="M51" s="55" t="s">
        <v>11</v>
      </c>
      <c r="N51" s="56">
        <v>0.82401415160000002</v>
      </c>
      <c r="O51" s="54" t="s">
        <v>12</v>
      </c>
      <c r="P51" s="57">
        <f t="shared" si="5"/>
        <v>150649.62999726468</v>
      </c>
      <c r="Q51" s="58">
        <f t="shared" si="2"/>
        <v>14596602</v>
      </c>
      <c r="R51" s="59">
        <f t="shared" si="3"/>
        <v>-5.0127456000000015E-2</v>
      </c>
      <c r="S51" s="60">
        <f t="shared" si="4"/>
        <v>2131.6100127004029</v>
      </c>
    </row>
    <row r="52" spans="1:19" x14ac:dyDescent="0.25">
      <c r="A52" s="29" t="s">
        <v>61</v>
      </c>
      <c r="B52" s="29" t="s">
        <v>9</v>
      </c>
      <c r="C52" s="30">
        <v>1882282431</v>
      </c>
      <c r="D52" s="31" t="s">
        <v>10</v>
      </c>
      <c r="E52" s="32">
        <v>1000</v>
      </c>
      <c r="F52" s="33" t="s">
        <v>11</v>
      </c>
      <c r="G52" s="34">
        <v>1.5</v>
      </c>
      <c r="H52" s="35" t="s">
        <v>12</v>
      </c>
      <c r="I52" s="36">
        <f t="shared" si="0"/>
        <v>2823423.6465000003</v>
      </c>
      <c r="J52" s="37">
        <v>1689440354</v>
      </c>
      <c r="K52" s="39" t="s">
        <v>10</v>
      </c>
      <c r="L52" s="39">
        <v>1000</v>
      </c>
      <c r="M52" s="39" t="s">
        <v>11</v>
      </c>
      <c r="N52" s="40">
        <v>1.5</v>
      </c>
      <c r="O52" s="38" t="s">
        <v>12</v>
      </c>
      <c r="P52" s="41">
        <f t="shared" si="5"/>
        <v>2534160.531</v>
      </c>
      <c r="Q52" s="42">
        <f t="shared" si="2"/>
        <v>192842077</v>
      </c>
      <c r="R52" s="43">
        <f t="shared" si="3"/>
        <v>0</v>
      </c>
      <c r="S52" s="44">
        <f t="shared" si="4"/>
        <v>289263.11550000031</v>
      </c>
    </row>
    <row r="53" spans="1:19" x14ac:dyDescent="0.25">
      <c r="A53" s="45" t="s">
        <v>62</v>
      </c>
      <c r="B53" s="45" t="s">
        <v>9</v>
      </c>
      <c r="C53" s="46">
        <v>6181999063</v>
      </c>
      <c r="D53" s="47" t="s">
        <v>10</v>
      </c>
      <c r="E53" s="48">
        <v>1000</v>
      </c>
      <c r="F53" s="49" t="s">
        <v>11</v>
      </c>
      <c r="G53" s="50">
        <v>1.4999999992999999</v>
      </c>
      <c r="H53" s="51" t="s">
        <v>12</v>
      </c>
      <c r="I53" s="52">
        <f t="shared" si="0"/>
        <v>9272998.5901726</v>
      </c>
      <c r="J53" s="53">
        <v>5580233897</v>
      </c>
      <c r="K53" s="55" t="s">
        <v>10</v>
      </c>
      <c r="L53" s="55">
        <v>1000</v>
      </c>
      <c r="M53" s="55" t="s">
        <v>11</v>
      </c>
      <c r="N53" s="56">
        <v>1.5</v>
      </c>
      <c r="O53" s="54" t="s">
        <v>12</v>
      </c>
      <c r="P53" s="57">
        <f t="shared" si="5"/>
        <v>8370350.8454999998</v>
      </c>
      <c r="Q53" s="58">
        <f t="shared" si="2"/>
        <v>601765166</v>
      </c>
      <c r="R53" s="59">
        <f t="shared" si="3"/>
        <v>-7.000000579182597E-10</v>
      </c>
      <c r="S53" s="60">
        <f t="shared" si="4"/>
        <v>902647.74467260018</v>
      </c>
    </row>
    <row r="54" spans="1:19" x14ac:dyDescent="0.25">
      <c r="A54" s="29" t="s">
        <v>63</v>
      </c>
      <c r="B54" s="29" t="s">
        <v>9</v>
      </c>
      <c r="C54" s="30">
        <v>5727878816</v>
      </c>
      <c r="D54" s="31" t="s">
        <v>10</v>
      </c>
      <c r="E54" s="32">
        <v>1000</v>
      </c>
      <c r="F54" s="33" t="s">
        <v>11</v>
      </c>
      <c r="G54" s="34">
        <v>1.3589444959000001</v>
      </c>
      <c r="H54" s="35" t="s">
        <v>12</v>
      </c>
      <c r="I54" s="36">
        <f t="shared" si="0"/>
        <v>7783869.3901854092</v>
      </c>
      <c r="J54" s="37">
        <v>5229331856</v>
      </c>
      <c r="K54" s="39" t="s">
        <v>10</v>
      </c>
      <c r="L54" s="39">
        <v>1000</v>
      </c>
      <c r="M54" s="39" t="s">
        <v>11</v>
      </c>
      <c r="N54" s="40">
        <v>1.4533534454000001</v>
      </c>
      <c r="O54" s="38" t="s">
        <v>12</v>
      </c>
      <c r="P54" s="41">
        <f t="shared" si="5"/>
        <v>7600067.4700575769</v>
      </c>
      <c r="Q54" s="42">
        <f t="shared" si="2"/>
        <v>498546960</v>
      </c>
      <c r="R54" s="43">
        <f t="shared" si="3"/>
        <v>-9.4408949500000006E-2</v>
      </c>
      <c r="S54" s="44">
        <f t="shared" si="4"/>
        <v>183801.92012783233</v>
      </c>
    </row>
    <row r="55" spans="1:19" x14ac:dyDescent="0.25">
      <c r="A55" s="29" t="s">
        <v>64</v>
      </c>
      <c r="B55" s="29" t="s">
        <v>9</v>
      </c>
      <c r="C55" s="30">
        <v>5727878816</v>
      </c>
      <c r="D55" s="31" t="s">
        <v>10</v>
      </c>
      <c r="E55" s="32">
        <v>1000</v>
      </c>
      <c r="F55" s="33" t="s">
        <v>11</v>
      </c>
      <c r="G55" s="34">
        <v>0.44659078029999999</v>
      </c>
      <c r="H55" s="35" t="s">
        <v>12</v>
      </c>
      <c r="I55" s="36">
        <f t="shared" si="0"/>
        <v>2558017.8699012799</v>
      </c>
      <c r="J55" s="37">
        <v>5229331856</v>
      </c>
      <c r="K55" s="39" t="s">
        <v>10</v>
      </c>
      <c r="L55" s="39">
        <v>1000</v>
      </c>
      <c r="M55" s="39" t="s">
        <v>11</v>
      </c>
      <c r="N55" s="40">
        <v>0.45</v>
      </c>
      <c r="O55" s="38" t="s">
        <v>12</v>
      </c>
      <c r="P55" s="41">
        <f t="shared" si="5"/>
        <v>2353199.3352000001</v>
      </c>
      <c r="Q55" s="42">
        <f t="shared" si="2"/>
        <v>498546960</v>
      </c>
      <c r="R55" s="43">
        <f t="shared" si="3"/>
        <v>-3.4092197000000213E-3</v>
      </c>
      <c r="S55" s="44">
        <f t="shared" si="4"/>
        <v>204818.53470127983</v>
      </c>
    </row>
    <row r="56" spans="1:19" x14ac:dyDescent="0.25">
      <c r="A56" s="45" t="s">
        <v>65</v>
      </c>
      <c r="B56" s="45" t="s">
        <v>9</v>
      </c>
      <c r="C56" s="46">
        <v>1098352548</v>
      </c>
      <c r="D56" s="47" t="s">
        <v>10</v>
      </c>
      <c r="E56" s="48">
        <v>1000</v>
      </c>
      <c r="F56" s="49" t="s">
        <v>11</v>
      </c>
      <c r="G56" s="50">
        <v>1.4999999982000001</v>
      </c>
      <c r="H56" s="51" t="s">
        <v>12</v>
      </c>
      <c r="I56" s="52">
        <f t="shared" si="0"/>
        <v>1647528.8200229653</v>
      </c>
      <c r="J56" s="53">
        <v>979432178</v>
      </c>
      <c r="K56" s="55" t="s">
        <v>10</v>
      </c>
      <c r="L56" s="55">
        <v>1000</v>
      </c>
      <c r="M56" s="55" t="s">
        <v>11</v>
      </c>
      <c r="N56" s="56">
        <v>1.5</v>
      </c>
      <c r="O56" s="54" t="s">
        <v>12</v>
      </c>
      <c r="P56" s="57">
        <f t="shared" si="5"/>
        <v>1469148.267</v>
      </c>
      <c r="Q56" s="58">
        <f t="shared" si="2"/>
        <v>118920370</v>
      </c>
      <c r="R56" s="59">
        <f t="shared" si="3"/>
        <v>-1.7999999268880629E-9</v>
      </c>
      <c r="S56" s="60">
        <f t="shared" si="4"/>
        <v>178380.55302296532</v>
      </c>
    </row>
    <row r="57" spans="1:19" x14ac:dyDescent="0.25">
      <c r="A57" s="45" t="s">
        <v>66</v>
      </c>
      <c r="B57" s="45" t="s">
        <v>9</v>
      </c>
      <c r="C57" s="46">
        <v>1098352548</v>
      </c>
      <c r="D57" s="47" t="s">
        <v>10</v>
      </c>
      <c r="E57" s="48">
        <v>1000</v>
      </c>
      <c r="F57" s="49" t="s">
        <v>11</v>
      </c>
      <c r="G57" s="50">
        <v>0.34999999840000001</v>
      </c>
      <c r="H57" s="51" t="s">
        <v>12</v>
      </c>
      <c r="I57" s="52">
        <f t="shared" si="0"/>
        <v>384423.3900426359</v>
      </c>
      <c r="J57" s="53">
        <v>979432178</v>
      </c>
      <c r="K57" s="55" t="s">
        <v>10</v>
      </c>
      <c r="L57" s="55">
        <v>1000</v>
      </c>
      <c r="M57" s="55" t="s">
        <v>11</v>
      </c>
      <c r="N57" s="56">
        <v>0.35</v>
      </c>
      <c r="O57" s="54" t="s">
        <v>12</v>
      </c>
      <c r="P57" s="57">
        <f t="shared" si="5"/>
        <v>342801.26229999994</v>
      </c>
      <c r="Q57" s="58">
        <f t="shared" si="2"/>
        <v>118920370</v>
      </c>
      <c r="R57" s="59">
        <f t="shared" si="3"/>
        <v>-1.5999999658511399E-9</v>
      </c>
      <c r="S57" s="60">
        <f t="shared" si="4"/>
        <v>41622.127742635959</v>
      </c>
    </row>
    <row r="58" spans="1:19" x14ac:dyDescent="0.25">
      <c r="A58" s="29" t="s">
        <v>67</v>
      </c>
      <c r="B58" s="29" t="s">
        <v>9</v>
      </c>
      <c r="C58" s="30">
        <v>714212249</v>
      </c>
      <c r="D58" s="31" t="s">
        <v>10</v>
      </c>
      <c r="E58" s="32">
        <v>1000</v>
      </c>
      <c r="F58" s="33" t="s">
        <v>11</v>
      </c>
      <c r="G58" s="34">
        <v>0.85171726029999995</v>
      </c>
      <c r="H58" s="35" t="s">
        <v>12</v>
      </c>
      <c r="I58" s="36">
        <f t="shared" si="0"/>
        <v>608306.89999098133</v>
      </c>
      <c r="J58" s="37">
        <v>666799291</v>
      </c>
      <c r="K58" s="39" t="s">
        <v>10</v>
      </c>
      <c r="L58" s="39">
        <v>1000</v>
      </c>
      <c r="M58" s="39" t="s">
        <v>11</v>
      </c>
      <c r="N58" s="40">
        <v>0.8852480318</v>
      </c>
      <c r="O58" s="38" t="s">
        <v>12</v>
      </c>
      <c r="P58" s="41">
        <f t="shared" si="5"/>
        <v>590282.75996338541</v>
      </c>
      <c r="Q58" s="42">
        <f t="shared" si="2"/>
        <v>47412958</v>
      </c>
      <c r="R58" s="43">
        <f t="shared" si="3"/>
        <v>-3.3530771500000056E-2</v>
      </c>
      <c r="S58" s="44">
        <f t="shared" si="4"/>
        <v>18024.140027595917</v>
      </c>
    </row>
    <row r="59" spans="1:19" x14ac:dyDescent="0.25">
      <c r="A59" s="45" t="s">
        <v>68</v>
      </c>
      <c r="B59" s="45" t="s">
        <v>9</v>
      </c>
      <c r="C59" s="46">
        <v>3186714009</v>
      </c>
      <c r="D59" s="47" t="s">
        <v>10</v>
      </c>
      <c r="E59" s="48">
        <v>1000</v>
      </c>
      <c r="F59" s="49" t="s">
        <v>11</v>
      </c>
      <c r="G59" s="50">
        <v>1.5</v>
      </c>
      <c r="H59" s="51" t="s">
        <v>12</v>
      </c>
      <c r="I59" s="52">
        <f t="shared" si="0"/>
        <v>4780071.0135000004</v>
      </c>
      <c r="J59" s="53">
        <v>2926734604</v>
      </c>
      <c r="K59" s="55" t="s">
        <v>10</v>
      </c>
      <c r="L59" s="55">
        <v>1000</v>
      </c>
      <c r="M59" s="55" t="s">
        <v>11</v>
      </c>
      <c r="N59" s="56">
        <v>1.5</v>
      </c>
      <c r="O59" s="54" t="s">
        <v>12</v>
      </c>
      <c r="P59" s="57">
        <f t="shared" si="5"/>
        <v>4390101.9059999995</v>
      </c>
      <c r="Q59" s="58">
        <f t="shared" si="2"/>
        <v>259979405</v>
      </c>
      <c r="R59" s="59">
        <f t="shared" si="3"/>
        <v>0</v>
      </c>
      <c r="S59" s="60">
        <f t="shared" si="4"/>
        <v>389969.10750000086</v>
      </c>
    </row>
    <row r="60" spans="1:19" x14ac:dyDescent="0.25">
      <c r="A60" s="29" t="s">
        <v>69</v>
      </c>
      <c r="B60" s="29" t="s">
        <v>19</v>
      </c>
      <c r="C60" s="30">
        <v>1621057274</v>
      </c>
      <c r="D60" s="31" t="s">
        <v>10</v>
      </c>
      <c r="E60" s="32">
        <v>1000</v>
      </c>
      <c r="F60" s="33" t="s">
        <v>11</v>
      </c>
      <c r="G60" s="34">
        <v>0.1663010905</v>
      </c>
      <c r="H60" s="35" t="s">
        <v>12</v>
      </c>
      <c r="I60" s="36">
        <f t="shared" si="0"/>
        <v>269583.59242915729</v>
      </c>
      <c r="J60" s="37">
        <v>1493241396</v>
      </c>
      <c r="K60" s="39" t="s">
        <v>10</v>
      </c>
      <c r="L60" s="39">
        <v>1000</v>
      </c>
      <c r="M60" s="39" t="s">
        <v>11</v>
      </c>
      <c r="N60" s="40">
        <v>0.1767296304</v>
      </c>
      <c r="O60" s="38" t="s">
        <v>12</v>
      </c>
      <c r="P60" s="41">
        <f t="shared" si="5"/>
        <v>263900.00001306005</v>
      </c>
      <c r="Q60" s="42">
        <f t="shared" si="2"/>
        <v>127815878</v>
      </c>
      <c r="R60" s="43">
        <f t="shared" si="3"/>
        <v>-1.0428539900000006E-2</v>
      </c>
      <c r="S60" s="44">
        <f t="shared" si="4"/>
        <v>5683.5924160972354</v>
      </c>
    </row>
    <row r="61" spans="1:19" x14ac:dyDescent="0.25">
      <c r="A61" s="45" t="s">
        <v>70</v>
      </c>
      <c r="B61" s="45" t="s">
        <v>9</v>
      </c>
      <c r="C61" s="46">
        <v>250523227</v>
      </c>
      <c r="D61" s="47" t="s">
        <v>10</v>
      </c>
      <c r="E61" s="48">
        <v>1000</v>
      </c>
      <c r="F61" s="49" t="s">
        <v>11</v>
      </c>
      <c r="G61" s="50">
        <v>0.96601857199999996</v>
      </c>
      <c r="H61" s="51" t="s">
        <v>12</v>
      </c>
      <c r="I61" s="52">
        <f t="shared" si="0"/>
        <v>242010.08999937185</v>
      </c>
      <c r="J61" s="53">
        <v>229898811</v>
      </c>
      <c r="K61" s="55" t="s">
        <v>10</v>
      </c>
      <c r="L61" s="55">
        <v>1000</v>
      </c>
      <c r="M61" s="55" t="s">
        <v>11</v>
      </c>
      <c r="N61" s="56">
        <v>1.0526809119</v>
      </c>
      <c r="O61" s="54" t="s">
        <v>12</v>
      </c>
      <c r="P61" s="57">
        <f t="shared" si="5"/>
        <v>242010.09000820573</v>
      </c>
      <c r="Q61" s="58">
        <f t="shared" si="2"/>
        <v>20624416</v>
      </c>
      <c r="R61" s="59">
        <f t="shared" si="3"/>
        <v>-8.6662339900000052E-2</v>
      </c>
      <c r="S61" s="60">
        <f t="shared" si="4"/>
        <v>-8.8338856585323811E-6</v>
      </c>
    </row>
    <row r="62" spans="1:19" ht="15.75" thickBot="1" x14ac:dyDescent="0.3">
      <c r="A62" s="29" t="s">
        <v>71</v>
      </c>
      <c r="B62" s="29" t="s">
        <v>9</v>
      </c>
      <c r="C62" s="30">
        <v>1072683557</v>
      </c>
      <c r="D62" s="31" t="s">
        <v>10</v>
      </c>
      <c r="E62" s="32">
        <v>1000</v>
      </c>
      <c r="F62" s="33" t="s">
        <v>11</v>
      </c>
      <c r="G62" s="34">
        <v>0.5</v>
      </c>
      <c r="H62" s="35" t="s">
        <v>12</v>
      </c>
      <c r="I62" s="36">
        <f t="shared" si="0"/>
        <v>536341.77850000001</v>
      </c>
      <c r="J62" s="37">
        <v>1005545467</v>
      </c>
      <c r="K62" s="39" t="s">
        <v>10</v>
      </c>
      <c r="L62" s="39">
        <v>1000</v>
      </c>
      <c r="M62" s="39" t="s">
        <v>11</v>
      </c>
      <c r="N62" s="40">
        <v>0.5</v>
      </c>
      <c r="O62" s="38" t="s">
        <v>12</v>
      </c>
      <c r="P62" s="41">
        <f t="shared" si="5"/>
        <v>502772.73349999997</v>
      </c>
      <c r="Q62" s="42">
        <f t="shared" si="2"/>
        <v>67138090</v>
      </c>
      <c r="R62" s="43">
        <f t="shared" si="3"/>
        <v>0</v>
      </c>
      <c r="S62" s="44">
        <f t="shared" si="4"/>
        <v>33569.045000000042</v>
      </c>
    </row>
    <row r="63" spans="1:19" ht="15.75" thickBot="1" x14ac:dyDescent="0.3">
      <c r="A63" s="78" t="s">
        <v>72</v>
      </c>
      <c r="B63" s="79"/>
      <c r="C63" s="80"/>
      <c r="D63" s="81"/>
      <c r="E63" s="82"/>
      <c r="F63" s="83"/>
      <c r="G63" s="84"/>
      <c r="H63" s="85"/>
      <c r="I63" s="85"/>
      <c r="J63" s="80"/>
      <c r="K63" s="80"/>
      <c r="L63" s="80"/>
      <c r="M63" s="80"/>
      <c r="N63" s="80"/>
      <c r="O63" s="80"/>
      <c r="P63" s="80"/>
      <c r="Q63" s="86"/>
      <c r="R63" s="86"/>
      <c r="S63" s="87"/>
    </row>
    <row r="64" spans="1:19" x14ac:dyDescent="0.25">
      <c r="A64" s="45" t="s">
        <v>73</v>
      </c>
      <c r="B64" s="45" t="s">
        <v>9</v>
      </c>
      <c r="C64" s="90">
        <v>686071700</v>
      </c>
      <c r="D64" s="91" t="s">
        <v>10</v>
      </c>
      <c r="E64" s="92">
        <v>1000</v>
      </c>
      <c r="F64" s="93" t="s">
        <v>11</v>
      </c>
      <c r="G64" s="94">
        <v>2.3176017899999998E-2</v>
      </c>
      <c r="H64" s="95" t="s">
        <v>12</v>
      </c>
      <c r="I64" s="96">
        <f t="shared" si="0"/>
        <v>15900.409999883428</v>
      </c>
      <c r="J64" s="97">
        <v>585163868</v>
      </c>
      <c r="K64" s="98" t="s">
        <v>10</v>
      </c>
      <c r="L64" s="98">
        <v>1000</v>
      </c>
      <c r="M64" s="98" t="s">
        <v>11</v>
      </c>
      <c r="N64" s="99">
        <v>2.6557107900000002E-2</v>
      </c>
      <c r="O64" s="100" t="s">
        <v>12</v>
      </c>
      <c r="P64" s="101">
        <f t="shared" si="5"/>
        <v>15540.259981657358</v>
      </c>
      <c r="Q64" s="102">
        <f t="shared" si="2"/>
        <v>100907832</v>
      </c>
      <c r="R64" s="103">
        <f t="shared" si="3"/>
        <v>-3.3810900000000033E-3</v>
      </c>
      <c r="S64" s="104">
        <f t="shared" si="4"/>
        <v>360.15001822606973</v>
      </c>
    </row>
    <row r="65" spans="1:19" x14ac:dyDescent="0.25">
      <c r="A65" s="29" t="s">
        <v>74</v>
      </c>
      <c r="B65" s="29" t="s">
        <v>9</v>
      </c>
      <c r="C65" s="30">
        <v>453761841</v>
      </c>
      <c r="D65" s="31" t="s">
        <v>10</v>
      </c>
      <c r="E65" s="32">
        <v>1000</v>
      </c>
      <c r="F65" s="33" t="s">
        <v>11</v>
      </c>
      <c r="G65" s="34">
        <v>9.9519562699999994E-2</v>
      </c>
      <c r="H65" s="35" t="s">
        <v>12</v>
      </c>
      <c r="I65" s="36">
        <f t="shared" si="0"/>
        <v>45158.179986266929</v>
      </c>
      <c r="J65" s="37">
        <v>429957491</v>
      </c>
      <c r="K65" s="39" t="s">
        <v>10</v>
      </c>
      <c r="L65" s="39">
        <v>1000</v>
      </c>
      <c r="M65" s="39" t="s">
        <v>11</v>
      </c>
      <c r="N65" s="105">
        <v>0.1038989689</v>
      </c>
      <c r="O65" s="38" t="s">
        <v>12</v>
      </c>
      <c r="P65" s="41">
        <f t="shared" si="5"/>
        <v>44672.139985731024</v>
      </c>
      <c r="Q65" s="42">
        <f t="shared" si="2"/>
        <v>23804350</v>
      </c>
      <c r="R65" s="43">
        <f t="shared" si="3"/>
        <v>-4.379406200000005E-3</v>
      </c>
      <c r="S65" s="44">
        <f t="shared" si="4"/>
        <v>486.04000053590426</v>
      </c>
    </row>
    <row r="66" spans="1:19" x14ac:dyDescent="0.25">
      <c r="A66" s="45" t="s">
        <v>75</v>
      </c>
      <c r="B66" s="45" t="s">
        <v>9</v>
      </c>
      <c r="C66" s="46">
        <v>190693672</v>
      </c>
      <c r="D66" s="47" t="s">
        <v>10</v>
      </c>
      <c r="E66" s="48">
        <v>1000</v>
      </c>
      <c r="F66" s="49" t="s">
        <v>11</v>
      </c>
      <c r="G66" s="50">
        <v>0.10319440489999999</v>
      </c>
      <c r="H66" s="51" t="s">
        <v>12</v>
      </c>
      <c r="I66" s="52">
        <f t="shared" si="0"/>
        <v>19678.520000235792</v>
      </c>
      <c r="J66" s="53">
        <v>173310528</v>
      </c>
      <c r="K66" s="55" t="s">
        <v>10</v>
      </c>
      <c r="L66" s="55">
        <v>1000</v>
      </c>
      <c r="M66" s="55" t="s">
        <v>11</v>
      </c>
      <c r="N66" s="106">
        <v>0.10740126530000001</v>
      </c>
      <c r="O66" s="54" t="s">
        <v>12</v>
      </c>
      <c r="P66" s="57">
        <f t="shared" si="5"/>
        <v>18613.769997011077</v>
      </c>
      <c r="Q66" s="58">
        <f t="shared" si="2"/>
        <v>17383144</v>
      </c>
      <c r="R66" s="59">
        <f t="shared" si="3"/>
        <v>-4.206860400000012E-3</v>
      </c>
      <c r="S66" s="60">
        <f t="shared" si="4"/>
        <v>1064.7500032247153</v>
      </c>
    </row>
    <row r="67" spans="1:19" ht="15.75" thickBot="1" x14ac:dyDescent="0.3">
      <c r="A67" s="29" t="s">
        <v>76</v>
      </c>
      <c r="B67" s="29" t="s">
        <v>9</v>
      </c>
      <c r="C67" s="30">
        <v>2581826534</v>
      </c>
      <c r="D67" s="31" t="s">
        <v>10</v>
      </c>
      <c r="E67" s="32">
        <v>1000</v>
      </c>
      <c r="F67" s="33" t="s">
        <v>11</v>
      </c>
      <c r="G67" s="34">
        <v>4.0097279399999998E-2</v>
      </c>
      <c r="H67" s="35" t="s">
        <v>12</v>
      </c>
      <c r="I67" s="36">
        <f t="shared" si="0"/>
        <v>103524.21989613159</v>
      </c>
      <c r="J67" s="37">
        <v>2378536917</v>
      </c>
      <c r="K67" s="39" t="s">
        <v>10</v>
      </c>
      <c r="L67" s="39">
        <v>1000</v>
      </c>
      <c r="M67" s="39" t="s">
        <v>11</v>
      </c>
      <c r="N67" s="105">
        <v>4.2808265599999999E-2</v>
      </c>
      <c r="O67" s="38" t="s">
        <v>12</v>
      </c>
      <c r="P67" s="41">
        <f t="shared" si="5"/>
        <v>101821.04008234115</v>
      </c>
      <c r="Q67" s="42">
        <f t="shared" si="2"/>
        <v>203289617</v>
      </c>
      <c r="R67" s="43">
        <f t="shared" si="3"/>
        <v>-2.7109862000000012E-3</v>
      </c>
      <c r="S67" s="44">
        <f t="shared" si="4"/>
        <v>1703.1798137904407</v>
      </c>
    </row>
    <row r="68" spans="1:19" ht="15.75" thickBot="1" x14ac:dyDescent="0.3">
      <c r="A68" s="78" t="s">
        <v>77</v>
      </c>
      <c r="B68" s="79"/>
      <c r="C68" s="80"/>
      <c r="D68" s="81"/>
      <c r="E68" s="82"/>
      <c r="F68" s="83"/>
      <c r="G68" s="84"/>
      <c r="H68" s="85"/>
      <c r="I68" s="85"/>
      <c r="J68" s="80"/>
      <c r="K68" s="80"/>
      <c r="L68" s="80"/>
      <c r="M68" s="80"/>
      <c r="N68" s="80"/>
      <c r="O68" s="80"/>
      <c r="P68" s="80"/>
      <c r="Q68" s="86"/>
      <c r="R68" s="86"/>
      <c r="S68" s="87"/>
    </row>
    <row r="69" spans="1:19" x14ac:dyDescent="0.25">
      <c r="A69" s="107" t="s">
        <v>78</v>
      </c>
      <c r="B69" s="89" t="s">
        <v>9</v>
      </c>
      <c r="C69" s="90">
        <v>4878582707</v>
      </c>
      <c r="D69" s="108" t="s">
        <v>10</v>
      </c>
      <c r="E69" s="109">
        <v>1000</v>
      </c>
      <c r="F69" s="110" t="s">
        <v>11</v>
      </c>
      <c r="G69" s="94">
        <v>0.32392814980000001</v>
      </c>
      <c r="H69" s="95" t="s">
        <v>12</v>
      </c>
      <c r="I69" s="96">
        <f t="shared" si="0"/>
        <v>1580310.2699247857</v>
      </c>
      <c r="J69" s="97">
        <v>4409109776</v>
      </c>
      <c r="K69" s="98" t="s">
        <v>10</v>
      </c>
      <c r="L69" s="98">
        <v>1000</v>
      </c>
      <c r="M69" s="98" t="s">
        <v>11</v>
      </c>
      <c r="N69" s="99">
        <v>0.31155207740000002</v>
      </c>
      <c r="O69" s="100" t="s">
        <v>12</v>
      </c>
      <c r="P69" s="101">
        <f t="shared" si="5"/>
        <v>1373667.3101974486</v>
      </c>
      <c r="Q69" s="102">
        <f t="shared" si="2"/>
        <v>469472931</v>
      </c>
      <c r="R69" s="103">
        <f t="shared" si="3"/>
        <v>1.2376072399999993E-2</v>
      </c>
      <c r="S69" s="104">
        <f t="shared" si="4"/>
        <v>206642.95972733712</v>
      </c>
    </row>
    <row r="70" spans="1:19" x14ac:dyDescent="0.25">
      <c r="A70" s="45" t="s">
        <v>79</v>
      </c>
      <c r="B70" s="12" t="s">
        <v>9</v>
      </c>
      <c r="C70" s="13">
        <v>4878582707</v>
      </c>
      <c r="D70" s="47" t="s">
        <v>10</v>
      </c>
      <c r="E70" s="48">
        <v>1000</v>
      </c>
      <c r="F70" s="49" t="s">
        <v>11</v>
      </c>
      <c r="G70" s="17">
        <v>0.12298653850000001</v>
      </c>
      <c r="H70" s="51" t="s">
        <v>12</v>
      </c>
      <c r="I70" s="52">
        <f t="shared" si="0"/>
        <v>599999.99991988984</v>
      </c>
      <c r="J70" s="20">
        <v>4409109776</v>
      </c>
      <c r="K70" s="55" t="s">
        <v>10</v>
      </c>
      <c r="L70" s="55">
        <v>1000</v>
      </c>
      <c r="M70" s="55" t="s">
        <v>11</v>
      </c>
      <c r="N70" s="111">
        <v>0.1360818919</v>
      </c>
      <c r="O70" s="54" t="s">
        <v>12</v>
      </c>
      <c r="P70" s="57">
        <f t="shared" si="5"/>
        <v>599999.99991286511</v>
      </c>
      <c r="Q70" s="58">
        <f t="shared" si="2"/>
        <v>469472931</v>
      </c>
      <c r="R70" s="59">
        <f t="shared" si="3"/>
        <v>-1.3095353399999995E-2</v>
      </c>
      <c r="S70" s="60">
        <f t="shared" si="4"/>
        <v>7.0247333496809006E-6</v>
      </c>
    </row>
    <row r="71" spans="1:19" x14ac:dyDescent="0.25">
      <c r="A71" s="29" t="s">
        <v>80</v>
      </c>
      <c r="B71" s="29" t="s">
        <v>9</v>
      </c>
      <c r="C71" s="30">
        <v>1922078214</v>
      </c>
      <c r="D71" s="31" t="s">
        <v>10</v>
      </c>
      <c r="E71" s="32">
        <v>1000</v>
      </c>
      <c r="F71" s="33" t="s">
        <v>11</v>
      </c>
      <c r="G71" s="34">
        <v>0.24225917899999999</v>
      </c>
      <c r="H71" s="35" t="s">
        <v>12</v>
      </c>
      <c r="I71" s="36">
        <f t="shared" si="0"/>
        <v>465641.09009742626</v>
      </c>
      <c r="J71" s="37">
        <v>1748203405</v>
      </c>
      <c r="K71" s="39" t="s">
        <v>10</v>
      </c>
      <c r="L71" s="39">
        <v>1000</v>
      </c>
      <c r="M71" s="39" t="s">
        <v>11</v>
      </c>
      <c r="N71" s="105">
        <v>0.25347849049999999</v>
      </c>
      <c r="O71" s="38" t="s">
        <v>12</v>
      </c>
      <c r="P71" s="41">
        <f t="shared" si="5"/>
        <v>443131.96018636011</v>
      </c>
      <c r="Q71" s="42">
        <f t="shared" si="2"/>
        <v>173874809</v>
      </c>
      <c r="R71" s="43">
        <f t="shared" si="3"/>
        <v>-1.1219311499999995E-2</v>
      </c>
      <c r="S71" s="44">
        <f t="shared" si="4"/>
        <v>22509.129911066149</v>
      </c>
    </row>
    <row r="72" spans="1:19" x14ac:dyDescent="0.25">
      <c r="A72" s="45" t="s">
        <v>81</v>
      </c>
      <c r="B72" s="45" t="s">
        <v>9</v>
      </c>
      <c r="C72" s="46">
        <v>24986644006</v>
      </c>
      <c r="D72" s="47" t="s">
        <v>10</v>
      </c>
      <c r="E72" s="48">
        <v>1000</v>
      </c>
      <c r="F72" s="49" t="s">
        <v>11</v>
      </c>
      <c r="G72" s="50">
        <v>0.172241018</v>
      </c>
      <c r="H72" s="51" t="s">
        <v>12</v>
      </c>
      <c r="I72" s="52">
        <f t="shared" si="0"/>
        <v>4303724.9999970384</v>
      </c>
      <c r="J72" s="53">
        <v>22929556704</v>
      </c>
      <c r="K72" s="55" t="s">
        <v>10</v>
      </c>
      <c r="L72" s="55">
        <v>1000</v>
      </c>
      <c r="M72" s="55" t="s">
        <v>11</v>
      </c>
      <c r="N72" s="106">
        <v>0.21213296370000001</v>
      </c>
      <c r="O72" s="54" t="s">
        <v>12</v>
      </c>
      <c r="P72" s="57">
        <f t="shared" si="5"/>
        <v>4864114.819946724</v>
      </c>
      <c r="Q72" s="58">
        <f t="shared" si="2"/>
        <v>2057087302</v>
      </c>
      <c r="R72" s="59">
        <f t="shared" si="3"/>
        <v>-3.9891945700000014E-2</v>
      </c>
      <c r="S72" s="60">
        <f t="shared" si="4"/>
        <v>-560389.8199496856</v>
      </c>
    </row>
    <row r="73" spans="1:19" x14ac:dyDescent="0.25">
      <c r="A73" s="45" t="s">
        <v>82</v>
      </c>
      <c r="B73" s="45" t="s">
        <v>9</v>
      </c>
      <c r="C73" s="46">
        <v>24986644006</v>
      </c>
      <c r="D73" s="47" t="s">
        <v>10</v>
      </c>
      <c r="E73" s="48">
        <v>1000</v>
      </c>
      <c r="F73" s="49" t="s">
        <v>11</v>
      </c>
      <c r="G73" s="50">
        <v>0.2274468311</v>
      </c>
      <c r="H73" s="51" t="s">
        <v>12</v>
      </c>
      <c r="I73" s="52">
        <f t="shared" ref="I73" si="11">C73/E73*G73</f>
        <v>5683132.9989885092</v>
      </c>
      <c r="J73" s="53">
        <v>22929556704</v>
      </c>
      <c r="K73" s="55" t="s">
        <v>10</v>
      </c>
      <c r="L73" s="55">
        <v>1000</v>
      </c>
      <c r="M73" s="55" t="s">
        <v>11</v>
      </c>
      <c r="N73" s="106">
        <v>0.22341222059999999</v>
      </c>
      <c r="O73" s="54" t="s">
        <v>12</v>
      </c>
      <c r="P73" s="57">
        <f t="shared" si="5"/>
        <v>5122743.1806142563</v>
      </c>
      <c r="Q73" s="58">
        <f t="shared" ref="Q73" si="12">C73-J73</f>
        <v>2057087302</v>
      </c>
      <c r="R73" s="59">
        <f t="shared" ref="R73" si="13">G73-N73</f>
        <v>4.0346105000000076E-3</v>
      </c>
      <c r="S73" s="60">
        <f t="shared" ref="S73" si="14">I73-P73</f>
        <v>560389.81837425288</v>
      </c>
    </row>
    <row r="74" spans="1:19" x14ac:dyDescent="0.25">
      <c r="C74" s="112"/>
      <c r="E74" s="113"/>
      <c r="G74" s="114"/>
      <c r="I74" s="115"/>
      <c r="P74" s="115"/>
      <c r="Q74" s="116"/>
      <c r="R74" s="117"/>
      <c r="S74" s="115"/>
    </row>
    <row r="75" spans="1:19" x14ac:dyDescent="0.25">
      <c r="G75" s="114"/>
      <c r="I75" s="115"/>
      <c r="P75" s="115"/>
      <c r="S75" s="115"/>
    </row>
    <row r="76" spans="1:19" x14ac:dyDescent="0.25">
      <c r="G76" s="114"/>
      <c r="I76" s="115"/>
      <c r="P76" s="115"/>
      <c r="S76" s="115"/>
    </row>
  </sheetData>
  <printOptions horizontalCentered="1" gridLines="1"/>
  <pageMargins left="0.5" right="0.5" top="0.5" bottom="1" header="0.3" footer="0.3"/>
  <pageSetup paperSize="5" scale="64" fitToHeight="0" orientation="landscape" r:id="rId1"/>
  <headerFooter>
    <oddHeader>&amp;C&amp;"-,Bold"&amp;14Levy Rate Comparison Report</oddHeader>
    <oddFooter>&amp;L&amp;"-,Bold"Legend&amp;"-,Regular":
AV =  Taxable Assessed Value
GF = General Fund
M+O&amp;O = Maintenance + Operations&amp;CPage &amp;P of &amp;N&amp;RNote: Administrative  Refund Levies are bundled with their parent levy.
Note: Figures do not include Timber Assessed Value.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19-20</vt:lpstr>
      <vt:lpstr>18-19</vt:lpstr>
      <vt:lpstr>17-18</vt:lpstr>
      <vt:lpstr>16-17</vt:lpstr>
      <vt:lpstr>15-16</vt:lpstr>
      <vt:lpstr>14-15</vt:lpstr>
      <vt:lpstr>13-14</vt:lpstr>
      <vt:lpstr>'13-14'!Print_Titles</vt:lpstr>
      <vt:lpstr>'14-15'!Print_Titles</vt:lpstr>
      <vt:lpstr>'15-16'!Print_Titles</vt:lpstr>
      <vt:lpstr>'16-17'!Print_Titles</vt:lpstr>
      <vt:lpstr>'17-18'!Print_Titles</vt:lpstr>
      <vt:lpstr>'18-19'!Print_Titles</vt:lpstr>
      <vt:lpstr>'19-20'!Print_Titles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Traub, Willy</dc:creator>
  <cp:lastModifiedBy>Deatherage, Nick</cp:lastModifiedBy>
  <cp:lastPrinted>2020-01-31T19:37:07Z</cp:lastPrinted>
  <dcterms:created xsi:type="dcterms:W3CDTF">2015-02-11T17:03:04Z</dcterms:created>
  <dcterms:modified xsi:type="dcterms:W3CDTF">2020-02-03T17:12:46Z</dcterms:modified>
</cp:coreProperties>
</file>